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8960" windowHeight="11835" activeTab="0"/>
  </bookViews>
  <sheets>
    <sheet name="Anthropometry" sheetId="1" r:id="rId1"/>
    <sheet name="Workouts" sheetId="2" r:id="rId2"/>
    <sheet name="Movements" sheetId="3" r:id="rId3"/>
    <sheet name="Anthropometric Data" sheetId="4" r:id="rId4"/>
  </sheets>
  <definedNames>
    <definedName name="Dimensions">#REF!</definedName>
    <definedName name="MovementList">'Movements'!$A$2:$A$47</definedName>
    <definedName name="TaskPriorityBenchmarks">'Movements'!$A$96:$A$125</definedName>
    <definedName name="TimePriorityBenchmarks">'Movements'!$A$129:$A$133</definedName>
  </definedNames>
  <calcPr fullCalcOnLoad="1"/>
</workbook>
</file>

<file path=xl/comments1.xml><?xml version="1.0" encoding="utf-8"?>
<comments xmlns="http://schemas.openxmlformats.org/spreadsheetml/2006/main">
  <authors>
    <author>Matt.Deminico</author>
    <author>a</author>
  </authors>
  <commentList>
    <comment ref="A13" authorId="0">
      <text>
        <r>
          <rPr>
            <b/>
            <sz val="8"/>
            <rFont val="Tahoma"/>
            <family val="2"/>
          </rPr>
          <t>Matt.Deminico:</t>
        </r>
        <r>
          <rPr>
            <sz val="8"/>
            <rFont val="Tahoma"/>
            <family val="2"/>
          </rPr>
          <t xml:space="preserve">
Upper arm, from elbow to shoulder</t>
        </r>
      </text>
    </comment>
    <comment ref="A15" authorId="0">
      <text>
        <r>
          <rPr>
            <b/>
            <sz val="8"/>
            <rFont val="Tahoma"/>
            <family val="2"/>
          </rPr>
          <t>Matt.Deminico:</t>
        </r>
        <r>
          <rPr>
            <sz val="8"/>
            <rFont val="Tahoma"/>
            <family val="2"/>
          </rPr>
          <t xml:space="preserve">
From wrist to fingertips</t>
        </r>
      </text>
    </comment>
    <comment ref="A14" authorId="0">
      <text>
        <r>
          <rPr>
            <b/>
            <sz val="8"/>
            <rFont val="Tahoma"/>
            <family val="2"/>
          </rPr>
          <t>Matt.Deminico:</t>
        </r>
        <r>
          <rPr>
            <sz val="8"/>
            <rFont val="Tahoma"/>
            <family val="2"/>
          </rPr>
          <t xml:space="preserve">
From elbow to wrist</t>
        </r>
      </text>
    </comment>
    <comment ref="A6" authorId="0">
      <text>
        <r>
          <rPr>
            <b/>
            <sz val="8"/>
            <rFont val="Tahoma"/>
            <family val="2"/>
          </rPr>
          <t>Matt.Deminico:</t>
        </r>
        <r>
          <rPr>
            <sz val="8"/>
            <rFont val="Tahoma"/>
            <family val="2"/>
          </rPr>
          <t xml:space="preserve">
From base of neck (where it meets collarbone) to top of head</t>
        </r>
      </text>
    </comment>
    <comment ref="A12" authorId="0">
      <text>
        <r>
          <rPr>
            <b/>
            <sz val="8"/>
            <rFont val="Tahoma"/>
            <family val="2"/>
          </rPr>
          <t xml:space="preserve">Matt.Deminico:
</t>
        </r>
        <r>
          <rPr>
            <sz val="8"/>
            <rFont val="Tahoma"/>
            <family val="2"/>
          </rPr>
          <t>From the heel to the toes</t>
        </r>
      </text>
    </comment>
    <comment ref="A9" authorId="0">
      <text>
        <r>
          <rPr>
            <b/>
            <sz val="8"/>
            <rFont val="Tahoma"/>
            <family val="2"/>
          </rPr>
          <t>Matt.Deminico:</t>
        </r>
        <r>
          <rPr>
            <sz val="8"/>
            <rFont val="Tahoma"/>
            <family val="2"/>
          </rPr>
          <t xml:space="preserve">
From hip socket (where leg enters the hip) to the knee</t>
        </r>
      </text>
    </comment>
    <comment ref="A10" authorId="0">
      <text>
        <r>
          <rPr>
            <b/>
            <sz val="8"/>
            <rFont val="Tahoma"/>
            <family val="2"/>
          </rPr>
          <t>Matt.Deminico:</t>
        </r>
        <r>
          <rPr>
            <sz val="8"/>
            <rFont val="Tahoma"/>
            <family val="2"/>
          </rPr>
          <t xml:space="preserve">
From Knee to Ankle</t>
        </r>
      </text>
    </comment>
    <comment ref="A8" authorId="0">
      <text>
        <r>
          <rPr>
            <b/>
            <sz val="8"/>
            <rFont val="Tahoma"/>
            <family val="2"/>
          </rPr>
          <t>Matt.Deminico:</t>
        </r>
        <r>
          <rPr>
            <sz val="8"/>
            <rFont val="Tahoma"/>
            <family val="2"/>
          </rPr>
          <t xml:space="preserve">
Vertical height from hip socket (where leg enters hip) to topmost part of hip bone</t>
        </r>
      </text>
    </comment>
    <comment ref="A7" authorId="0">
      <text>
        <r>
          <rPr>
            <b/>
            <sz val="8"/>
            <rFont val="Tahoma"/>
            <family val="2"/>
          </rPr>
          <t>Matt.Deminico:</t>
        </r>
        <r>
          <rPr>
            <sz val="8"/>
            <rFont val="Tahoma"/>
            <family val="2"/>
          </rPr>
          <t xml:space="preserve">
Vertical height from topmost part of hip bone to base of neck (where the base of the neck meets the collarbone)</t>
        </r>
      </text>
    </comment>
    <comment ref="C9" authorId="0">
      <text>
        <r>
          <rPr>
            <b/>
            <sz val="8"/>
            <rFont val="Tahoma"/>
            <family val="2"/>
          </rPr>
          <t>Matt.Deminico:</t>
        </r>
        <r>
          <rPr>
            <sz val="8"/>
            <rFont val="Tahoma"/>
            <family val="2"/>
          </rPr>
          <t xml:space="preserve">
Factors affecting this:
1) Weight</t>
        </r>
      </text>
    </comment>
    <comment ref="C7" authorId="0">
      <text>
        <r>
          <rPr>
            <b/>
            <sz val="8"/>
            <rFont val="Tahoma"/>
            <family val="2"/>
          </rPr>
          <t>Matt.Deminico:</t>
        </r>
        <r>
          <rPr>
            <sz val="8"/>
            <rFont val="Tahoma"/>
            <family val="2"/>
          </rPr>
          <t xml:space="preserve">
Factors affecting this:
1) Weight</t>
        </r>
      </text>
    </comment>
    <comment ref="C8" authorId="0">
      <text>
        <r>
          <rPr>
            <b/>
            <sz val="8"/>
            <rFont val="Tahoma"/>
            <family val="2"/>
          </rPr>
          <t>Matt.Deminico:</t>
        </r>
        <r>
          <rPr>
            <sz val="8"/>
            <rFont val="Tahoma"/>
            <family val="2"/>
          </rPr>
          <t xml:space="preserve">
Factors affecting this:
1) Weight</t>
        </r>
      </text>
    </comment>
    <comment ref="C10" authorId="0">
      <text>
        <r>
          <rPr>
            <b/>
            <sz val="8"/>
            <rFont val="Tahoma"/>
            <family val="0"/>
          </rPr>
          <t>Matt.Deminico:</t>
        </r>
        <r>
          <rPr>
            <sz val="8"/>
            <rFont val="Tahoma"/>
            <family val="0"/>
          </rPr>
          <t xml:space="preserve">
Factors affecting this:
1) Weight</t>
        </r>
      </text>
    </comment>
    <comment ref="C12" authorId="0">
      <text>
        <r>
          <rPr>
            <b/>
            <sz val="8"/>
            <rFont val="Tahoma"/>
            <family val="0"/>
          </rPr>
          <t>Matt.Deminico:</t>
        </r>
        <r>
          <rPr>
            <sz val="8"/>
            <rFont val="Tahoma"/>
            <family val="0"/>
          </rPr>
          <t xml:space="preserve">
Factors affecting this:
1) Weight</t>
        </r>
      </text>
    </comment>
    <comment ref="C13" authorId="0">
      <text>
        <r>
          <rPr>
            <b/>
            <sz val="8"/>
            <rFont val="Tahoma"/>
            <family val="0"/>
          </rPr>
          <t>Matt.Deminico:</t>
        </r>
        <r>
          <rPr>
            <sz val="8"/>
            <rFont val="Tahoma"/>
            <family val="0"/>
          </rPr>
          <t xml:space="preserve">
Factors affecting this:
1) Weight</t>
        </r>
      </text>
    </comment>
    <comment ref="C14" authorId="0">
      <text>
        <r>
          <rPr>
            <b/>
            <sz val="8"/>
            <rFont val="Tahoma"/>
            <family val="2"/>
          </rPr>
          <t>Matt.Deminico:</t>
        </r>
        <r>
          <rPr>
            <sz val="8"/>
            <rFont val="Tahoma"/>
            <family val="2"/>
          </rPr>
          <t xml:space="preserve">
Factors affecting this:
1) Weight</t>
        </r>
      </text>
    </comment>
    <comment ref="C15" authorId="0">
      <text>
        <r>
          <rPr>
            <b/>
            <sz val="8"/>
            <rFont val="Tahoma"/>
            <family val="2"/>
          </rPr>
          <t>Matt.Deminico:</t>
        </r>
        <r>
          <rPr>
            <sz val="8"/>
            <rFont val="Tahoma"/>
            <family val="2"/>
          </rPr>
          <t xml:space="preserve">
Factors affecting this:
1) Weight
2) The presence of manmade CO2 global warming (despite the fact that manmade C02 is almost zilcho in the grand scheme of things, that water vapor accounts for a majority of global warming but is left out of climate models, and the largest contributor to our climate (the sun) is routinely ignored, despite its varying cycles that almost perfectly mimic changes in global temperature over the years).  // end soapbox</t>
        </r>
      </text>
    </comment>
    <comment ref="B20" authorId="0">
      <text>
        <r>
          <rPr>
            <b/>
            <sz val="8"/>
            <rFont val="Tahoma"/>
            <family val="2"/>
          </rPr>
          <t>Matt.Deminico:</t>
        </r>
        <r>
          <rPr>
            <sz val="8"/>
            <rFont val="Tahoma"/>
            <family val="2"/>
          </rPr>
          <t xml:space="preserve">
This should come close to your specified height (at the top of this sheet), but may be off by a few inches, that's not a problem.  
Don't simply add or subtract inches to random body parts to make them match, that will screw up your numbers.
If these are way off, just go back and doublecheck your measurements again.
As a matter of fact, it's always good to go back and doublecheck your measurements.</t>
        </r>
      </text>
    </comment>
    <comment ref="A2" authorId="0">
      <text>
        <r>
          <rPr>
            <b/>
            <sz val="8"/>
            <rFont val="Tahoma"/>
            <family val="2"/>
          </rPr>
          <t>Matt.Deminico:</t>
        </r>
        <r>
          <rPr>
            <sz val="8"/>
            <rFont val="Tahoma"/>
            <family val="2"/>
          </rPr>
          <t xml:space="preserve">
In case math isn't your gig:
1' = 12"
2' = 24"
3' = 36"
4' = 48"
5' = 60"
6' = 72"
7' = FREAKING TALL (or 84")
Take your foot # and add your inches # to it.  So for me, at 5' 9" =&gt; 60" + 9" =&gt; 69"</t>
        </r>
      </text>
    </comment>
    <comment ref="A11" authorId="0">
      <text>
        <r>
          <rPr>
            <b/>
            <sz val="8"/>
            <rFont val="Tahoma"/>
            <family val="2"/>
          </rPr>
          <t xml:space="preserve">Matt.Deminico:
</t>
        </r>
        <r>
          <rPr>
            <sz val="8"/>
            <rFont val="Tahoma"/>
            <family val="2"/>
          </rPr>
          <t>Vertical height from the ankle to the ground</t>
        </r>
      </text>
    </comment>
    <comment ref="D6" authorId="0">
      <text>
        <r>
          <rPr>
            <b/>
            <sz val="8"/>
            <rFont val="Tahoma"/>
            <family val="2"/>
          </rPr>
          <t>Matt.Deminico:</t>
        </r>
        <r>
          <rPr>
            <sz val="8"/>
            <rFont val="Tahoma"/>
            <family val="2"/>
          </rPr>
          <t xml:space="preserve">
Factors affecting this:
1) Weight</t>
        </r>
      </text>
    </comment>
    <comment ref="A16" authorId="1">
      <text>
        <r>
          <rPr>
            <b/>
            <sz val="8"/>
            <rFont val="Tahoma"/>
            <family val="0"/>
          </rPr>
          <t>Matt DeMinico:</t>
        </r>
        <r>
          <rPr>
            <sz val="8"/>
            <rFont val="Tahoma"/>
            <family val="2"/>
          </rPr>
          <t xml:space="preserve">
Vertical height from floor to top of collarbone</t>
        </r>
      </text>
    </comment>
    <comment ref="A17" authorId="1">
      <text>
        <r>
          <rPr>
            <b/>
            <sz val="8"/>
            <rFont val="Tahoma"/>
            <family val="0"/>
          </rPr>
          <t>Matt DeMinico:</t>
        </r>
        <r>
          <rPr>
            <sz val="8"/>
            <rFont val="Tahoma"/>
            <family val="2"/>
          </rPr>
          <t xml:space="preserve">
Vertical Height from floor to wrist with arms fully extended overhead.</t>
        </r>
      </text>
    </comment>
    <comment ref="B25" authorId="0">
      <text>
        <r>
          <rPr>
            <b/>
            <sz val="8"/>
            <rFont val="Tahoma"/>
            <family val="2"/>
          </rPr>
          <t>Matt.Deminico:</t>
        </r>
        <r>
          <rPr>
            <sz val="8"/>
            <rFont val="Tahoma"/>
            <family val="2"/>
          </rPr>
          <t xml:space="preserve">
Shouldn't need to be changed</t>
        </r>
      </text>
    </comment>
  </commentList>
</comments>
</file>

<file path=xl/comments2.xml><?xml version="1.0" encoding="utf-8"?>
<comments xmlns="http://schemas.openxmlformats.org/spreadsheetml/2006/main">
  <authors>
    <author>a</author>
    <author>Matt.Deminico</author>
  </authors>
  <commentList>
    <comment ref="F47" authorId="0">
      <text>
        <r>
          <rPr>
            <b/>
            <sz val="8"/>
            <rFont val="Tahoma"/>
            <family val="0"/>
          </rPr>
          <t>Matt DeMinico:</t>
        </r>
        <r>
          <rPr>
            <sz val="8"/>
            <rFont val="Tahoma"/>
            <family val="0"/>
          </rPr>
          <t xml:space="preserve">
</t>
        </r>
        <r>
          <rPr>
            <sz val="8"/>
            <color indexed="10"/>
            <rFont val="Tahoma"/>
            <family val="2"/>
          </rPr>
          <t>Calculated for:
Wall Ball</t>
        </r>
        <r>
          <rPr>
            <sz val="8"/>
            <rFont val="Tahoma"/>
            <family val="0"/>
          </rPr>
          <t xml:space="preserve">
Formula is: Entered target height - Shoulder Height + Squat Distance</t>
        </r>
      </text>
    </comment>
    <comment ref="D47" authorId="0">
      <text>
        <r>
          <rPr>
            <b/>
            <sz val="8"/>
            <rFont val="Tahoma"/>
            <family val="2"/>
          </rPr>
          <t>Matt DeMinico:</t>
        </r>
        <r>
          <rPr>
            <sz val="8"/>
            <rFont val="Tahoma"/>
            <family val="0"/>
          </rPr>
          <t xml:space="preserve">
</t>
        </r>
        <r>
          <rPr>
            <sz val="8"/>
            <color indexed="10"/>
            <rFont val="Tahoma"/>
            <family val="2"/>
          </rPr>
          <t>Used for:
Box Jump
Rope Climb</t>
        </r>
        <r>
          <rPr>
            <sz val="8"/>
            <rFont val="Tahoma"/>
            <family val="0"/>
          </rPr>
          <t xml:space="preserve">
Be sure you are entering this </t>
        </r>
        <r>
          <rPr>
            <sz val="8"/>
            <color indexed="10"/>
            <rFont val="Tahoma"/>
            <family val="2"/>
          </rPr>
          <t>in feet</t>
        </r>
        <r>
          <rPr>
            <sz val="8"/>
            <rFont val="Tahoma"/>
            <family val="0"/>
          </rPr>
          <t xml:space="preserve">.
</t>
        </r>
        <r>
          <rPr>
            <sz val="8"/>
            <color indexed="10"/>
            <rFont val="Tahoma"/>
            <family val="2"/>
          </rPr>
          <t>*ALSO*</t>
        </r>
        <r>
          <rPr>
            <sz val="8"/>
            <rFont val="Tahoma"/>
            <family val="0"/>
          </rPr>
          <t xml:space="preserve"> Make sure when doing rope climbs, you subtract your overhead reach from the height of rope you climbed.  This is assuming you stood up and started climbing the rope, and reached up to touch the top of the rope.
Use the calculator below to convert inches to feet if needed.
</t>
        </r>
        <r>
          <rPr>
            <sz val="8"/>
            <color indexed="10"/>
            <rFont val="Tahoma"/>
            <family val="2"/>
          </rPr>
          <t>LEAVE THIS *BLANK* IF NOT DOING BOX JUMPS OR ROPE CLIMBS</t>
        </r>
      </text>
    </comment>
    <comment ref="D71" authorId="0">
      <text>
        <r>
          <rPr>
            <b/>
            <sz val="8"/>
            <rFont val="Tahoma"/>
            <family val="2"/>
          </rPr>
          <t>Matt DeMinico:</t>
        </r>
        <r>
          <rPr>
            <sz val="8"/>
            <rFont val="Tahoma"/>
            <family val="0"/>
          </rPr>
          <t xml:space="preserve">
</t>
        </r>
        <r>
          <rPr>
            <sz val="8"/>
            <rFont val="Tahoma"/>
            <family val="2"/>
          </rPr>
          <t>Used for:
Box Jump
Rope Climb</t>
        </r>
        <r>
          <rPr>
            <sz val="8"/>
            <rFont val="Tahoma"/>
            <family val="0"/>
          </rPr>
          <t xml:space="preserve">
Be sure you are entering this </t>
        </r>
        <r>
          <rPr>
            <sz val="8"/>
            <color indexed="10"/>
            <rFont val="Tahoma"/>
            <family val="2"/>
          </rPr>
          <t>in feet</t>
        </r>
        <r>
          <rPr>
            <sz val="8"/>
            <rFont val="Tahoma"/>
            <family val="0"/>
          </rPr>
          <t xml:space="preserve">.
</t>
        </r>
        <r>
          <rPr>
            <sz val="8"/>
            <color indexed="10"/>
            <rFont val="Tahoma"/>
            <family val="2"/>
          </rPr>
          <t>*ALSO*</t>
        </r>
        <r>
          <rPr>
            <sz val="8"/>
            <rFont val="Tahoma"/>
            <family val="0"/>
          </rPr>
          <t xml:space="preserve"> Make sure when doing rope climbs, you subtract your overhead reach from the height of rope you climbed.  This is assuming you stood up and started climbing the rope, and reached up to touch the top of the rope.
Use the calculator below to convert inches to feet if needed.
</t>
        </r>
        <r>
          <rPr>
            <sz val="8"/>
            <color indexed="10"/>
            <rFont val="Tahoma"/>
            <family val="2"/>
          </rPr>
          <t>LEAVE THIS *BLANK* IF NOT DOING BOX JUMPS OR ROPE CLIMBS</t>
        </r>
      </text>
    </comment>
    <comment ref="C47" authorId="1">
      <text>
        <r>
          <rPr>
            <b/>
            <sz val="8"/>
            <rFont val="Tahoma"/>
            <family val="0"/>
          </rPr>
          <t>Matt.Deminico:</t>
        </r>
        <r>
          <rPr>
            <sz val="8"/>
            <rFont val="Tahoma"/>
            <family val="0"/>
          </rPr>
          <t xml:space="preserve">
Note: For Double-Unders, enter 5 lbs to account for the jumprope and its air resistance</t>
        </r>
      </text>
    </comment>
    <comment ref="E47" authorId="0">
      <text>
        <r>
          <rPr>
            <b/>
            <sz val="8"/>
            <rFont val="Tahoma"/>
            <family val="0"/>
          </rPr>
          <t>Matt DeMinico:</t>
        </r>
        <r>
          <rPr>
            <sz val="8"/>
            <rFont val="Tahoma"/>
            <family val="0"/>
          </rPr>
          <t xml:space="preserve">
</t>
        </r>
        <r>
          <rPr>
            <sz val="8"/>
            <color indexed="10"/>
            <rFont val="Tahoma"/>
            <family val="2"/>
          </rPr>
          <t>Used for:
Wall Ball</t>
        </r>
        <r>
          <rPr>
            <sz val="8"/>
            <rFont val="Tahoma"/>
            <family val="0"/>
          </rPr>
          <t xml:space="preserve">
Be sure you are entering this </t>
        </r>
        <r>
          <rPr>
            <sz val="8"/>
            <color indexed="10"/>
            <rFont val="Tahoma"/>
            <family val="2"/>
          </rPr>
          <t>in feet.</t>
        </r>
        <r>
          <rPr>
            <sz val="8"/>
            <rFont val="Tahoma"/>
            <family val="0"/>
          </rPr>
          <t xml:space="preserve">
Use the calculator below to convert inches to feet if necessary
</t>
        </r>
        <r>
          <rPr>
            <sz val="8"/>
            <color indexed="10"/>
            <rFont val="Tahoma"/>
            <family val="2"/>
          </rPr>
          <t>LEAVE THIS *BLANK* IF NOT DOING WALL BALL</t>
        </r>
      </text>
    </comment>
    <comment ref="F71" authorId="0">
      <text>
        <r>
          <rPr>
            <b/>
            <sz val="8"/>
            <rFont val="Tahoma"/>
            <family val="0"/>
          </rPr>
          <t>Matt DeMinico:</t>
        </r>
        <r>
          <rPr>
            <sz val="8"/>
            <rFont val="Tahoma"/>
            <family val="0"/>
          </rPr>
          <t xml:space="preserve">
</t>
        </r>
        <r>
          <rPr>
            <sz val="8"/>
            <color indexed="10"/>
            <rFont val="Tahoma"/>
            <family val="2"/>
          </rPr>
          <t>Calculated for:
Wall Ball</t>
        </r>
        <r>
          <rPr>
            <sz val="8"/>
            <rFont val="Tahoma"/>
            <family val="0"/>
          </rPr>
          <t xml:space="preserve">
Formula is: Entered target height - Shoulder Height + Squat Distance</t>
        </r>
      </text>
    </comment>
    <comment ref="E71" authorId="0">
      <text>
        <r>
          <rPr>
            <b/>
            <sz val="8"/>
            <rFont val="Tahoma"/>
            <family val="0"/>
          </rPr>
          <t>Matt DeMinico:</t>
        </r>
        <r>
          <rPr>
            <sz val="8"/>
            <rFont val="Tahoma"/>
            <family val="0"/>
          </rPr>
          <t xml:space="preserve">
</t>
        </r>
        <r>
          <rPr>
            <sz val="8"/>
            <color indexed="10"/>
            <rFont val="Tahoma"/>
            <family val="2"/>
          </rPr>
          <t>Used for:
Wall Ball</t>
        </r>
        <r>
          <rPr>
            <sz val="8"/>
            <rFont val="Tahoma"/>
            <family val="0"/>
          </rPr>
          <t xml:space="preserve">
Be sure you are entering this </t>
        </r>
        <r>
          <rPr>
            <sz val="8"/>
            <color indexed="10"/>
            <rFont val="Tahoma"/>
            <family val="2"/>
          </rPr>
          <t>in feet.</t>
        </r>
        <r>
          <rPr>
            <sz val="8"/>
            <rFont val="Tahoma"/>
            <family val="0"/>
          </rPr>
          <t xml:space="preserve">
Use the calculator below to convert inches to feet if necessary
</t>
        </r>
        <r>
          <rPr>
            <sz val="8"/>
            <color indexed="10"/>
            <rFont val="Tahoma"/>
            <family val="2"/>
          </rPr>
          <t>LEAVE THIS *BLANK* IF NOT DOING WALL BALL</t>
        </r>
      </text>
    </comment>
    <comment ref="B47" authorId="1">
      <text>
        <r>
          <rPr>
            <b/>
            <sz val="8"/>
            <rFont val="Tahoma"/>
            <family val="2"/>
          </rPr>
          <t>Matt.Deminico:</t>
        </r>
        <r>
          <rPr>
            <sz val="8"/>
            <rFont val="Tahoma"/>
            <family val="2"/>
          </rPr>
          <t xml:space="preserve">
For Rowing/Running, enter total meters traveled</t>
        </r>
      </text>
    </comment>
    <comment ref="D91" authorId="0">
      <text>
        <r>
          <rPr>
            <b/>
            <sz val="8"/>
            <rFont val="Tahoma"/>
            <family val="2"/>
          </rPr>
          <t>Matt DeMinico:</t>
        </r>
        <r>
          <rPr>
            <sz val="8"/>
            <rFont val="Tahoma"/>
            <family val="0"/>
          </rPr>
          <t xml:space="preserve">
</t>
        </r>
        <r>
          <rPr>
            <sz val="8"/>
            <rFont val="Tahoma"/>
            <family val="2"/>
          </rPr>
          <t>Used for:
Box Jump
Rope Climb</t>
        </r>
        <r>
          <rPr>
            <sz val="8"/>
            <rFont val="Tahoma"/>
            <family val="0"/>
          </rPr>
          <t xml:space="preserve">
Be sure you are entering this </t>
        </r>
        <r>
          <rPr>
            <sz val="8"/>
            <color indexed="10"/>
            <rFont val="Tahoma"/>
            <family val="2"/>
          </rPr>
          <t>in feet</t>
        </r>
        <r>
          <rPr>
            <sz val="8"/>
            <rFont val="Tahoma"/>
            <family val="0"/>
          </rPr>
          <t xml:space="preserve">.
</t>
        </r>
        <r>
          <rPr>
            <sz val="8"/>
            <color indexed="10"/>
            <rFont val="Tahoma"/>
            <family val="2"/>
          </rPr>
          <t>*ALSO*</t>
        </r>
        <r>
          <rPr>
            <sz val="8"/>
            <rFont val="Tahoma"/>
            <family val="0"/>
          </rPr>
          <t xml:space="preserve"> Make sure when doing rope climbs, you subtract your overhead reach from the height of rope you climbed.  This is assuming you stood up and started climbing the rope, and reached up to touch the top of the rope.
Use the calculator below to convert inches to feet if needed.
</t>
        </r>
        <r>
          <rPr>
            <sz val="8"/>
            <color indexed="10"/>
            <rFont val="Tahoma"/>
            <family val="2"/>
          </rPr>
          <t>LEAVE THIS *BLANK* IF NOT DOING BOX JUMPS OR ROPE CLIMBS</t>
        </r>
      </text>
    </comment>
    <comment ref="E91" authorId="0">
      <text>
        <r>
          <rPr>
            <b/>
            <sz val="8"/>
            <rFont val="Tahoma"/>
            <family val="0"/>
          </rPr>
          <t>Matt DeMinico:</t>
        </r>
        <r>
          <rPr>
            <sz val="8"/>
            <rFont val="Tahoma"/>
            <family val="0"/>
          </rPr>
          <t xml:space="preserve">
</t>
        </r>
        <r>
          <rPr>
            <sz val="8"/>
            <color indexed="10"/>
            <rFont val="Tahoma"/>
            <family val="2"/>
          </rPr>
          <t>Used for:
Wall Ball</t>
        </r>
        <r>
          <rPr>
            <sz val="8"/>
            <rFont val="Tahoma"/>
            <family val="0"/>
          </rPr>
          <t xml:space="preserve">
Be sure you are entering this </t>
        </r>
        <r>
          <rPr>
            <sz val="8"/>
            <color indexed="10"/>
            <rFont val="Tahoma"/>
            <family val="2"/>
          </rPr>
          <t>in feet.</t>
        </r>
        <r>
          <rPr>
            <sz val="8"/>
            <rFont val="Tahoma"/>
            <family val="0"/>
          </rPr>
          <t xml:space="preserve">
Use the calculator below to convert inches to feet if necessary
</t>
        </r>
        <r>
          <rPr>
            <sz val="8"/>
            <color indexed="10"/>
            <rFont val="Tahoma"/>
            <family val="2"/>
          </rPr>
          <t>LEAVE THIS *BLANK* IF NOT DOING WALL BALL</t>
        </r>
      </text>
    </comment>
    <comment ref="F91" authorId="0">
      <text>
        <r>
          <rPr>
            <b/>
            <sz val="8"/>
            <rFont val="Tahoma"/>
            <family val="0"/>
          </rPr>
          <t>Matt DeMinico:</t>
        </r>
        <r>
          <rPr>
            <sz val="8"/>
            <rFont val="Tahoma"/>
            <family val="0"/>
          </rPr>
          <t xml:space="preserve">
</t>
        </r>
        <r>
          <rPr>
            <sz val="8"/>
            <color indexed="10"/>
            <rFont val="Tahoma"/>
            <family val="2"/>
          </rPr>
          <t>Calculated for:
Wall Ball</t>
        </r>
        <r>
          <rPr>
            <sz val="8"/>
            <rFont val="Tahoma"/>
            <family val="0"/>
          </rPr>
          <t xml:space="preserve">
Formula is: Entered target height - Shoulder Height + Squat Distance</t>
        </r>
      </text>
    </comment>
  </commentList>
</comments>
</file>

<file path=xl/comments3.xml><?xml version="1.0" encoding="utf-8"?>
<comments xmlns="http://schemas.openxmlformats.org/spreadsheetml/2006/main">
  <authors>
    <author>a</author>
    <author>Matt.Deminico</author>
  </authors>
  <commentList>
    <comment ref="D40" authorId="0">
      <text>
        <r>
          <rPr>
            <b/>
            <sz val="8"/>
            <rFont val="Tahoma"/>
            <family val="0"/>
          </rPr>
          <t>Matt DeMinico:</t>
        </r>
        <r>
          <rPr>
            <sz val="8"/>
            <rFont val="Tahoma"/>
            <family val="0"/>
          </rPr>
          <t xml:space="preserve">
Femur Length</t>
        </r>
      </text>
    </comment>
    <comment ref="D8" authorId="0">
      <text>
        <r>
          <rPr>
            <b/>
            <sz val="8"/>
            <rFont val="Tahoma"/>
            <family val="0"/>
          </rPr>
          <t>Matt DeMinico:</t>
        </r>
        <r>
          <rPr>
            <sz val="8"/>
            <rFont val="Tahoma"/>
            <family val="0"/>
          </rPr>
          <t xml:space="preserve">
1/2 Tibia Length</t>
        </r>
      </text>
    </comment>
    <comment ref="D30" authorId="0">
      <text>
        <r>
          <rPr>
            <b/>
            <sz val="8"/>
            <rFont val="Tahoma"/>
            <family val="0"/>
          </rPr>
          <t>Matt DeMinico:</t>
        </r>
        <r>
          <rPr>
            <sz val="8"/>
            <rFont val="Tahoma"/>
            <family val="0"/>
          </rPr>
          <t xml:space="preserve">
1/2 (Humerus Length + Forearm Length)</t>
        </r>
      </text>
    </comment>
    <comment ref="D28" authorId="0">
      <text>
        <r>
          <rPr>
            <b/>
            <sz val="8"/>
            <rFont val="Tahoma"/>
            <family val="0"/>
          </rPr>
          <t>Matt DeMinico:</t>
        </r>
        <r>
          <rPr>
            <sz val="8"/>
            <rFont val="Tahoma"/>
            <family val="0"/>
          </rPr>
          <t xml:space="preserve">
Deadlift</t>
        </r>
      </text>
    </comment>
    <comment ref="D41" authorId="0">
      <text>
        <r>
          <rPr>
            <b/>
            <sz val="8"/>
            <rFont val="Tahoma"/>
            <family val="0"/>
          </rPr>
          <t>Matt DeMinico:</t>
        </r>
        <r>
          <rPr>
            <sz val="8"/>
            <rFont val="Tahoma"/>
            <family val="0"/>
          </rPr>
          <t xml:space="preserve">
Deadlift</t>
        </r>
      </text>
    </comment>
    <comment ref="D29" authorId="0">
      <text>
        <r>
          <rPr>
            <b/>
            <sz val="8"/>
            <rFont val="Tahoma"/>
            <family val="0"/>
          </rPr>
          <t>Matt DeMinico:</t>
        </r>
        <r>
          <rPr>
            <sz val="8"/>
            <rFont val="Tahoma"/>
            <family val="0"/>
          </rPr>
          <t xml:space="preserve">
Deadlift</t>
        </r>
      </text>
    </comment>
    <comment ref="D43" authorId="0">
      <text>
        <r>
          <rPr>
            <b/>
            <sz val="8"/>
            <rFont val="Tahoma"/>
            <family val="0"/>
          </rPr>
          <t>Matt DeMinico:</t>
        </r>
        <r>
          <rPr>
            <sz val="8"/>
            <rFont val="Tahoma"/>
            <family val="0"/>
          </rPr>
          <t xml:space="preserve">
Deadlift</t>
        </r>
      </text>
    </comment>
    <comment ref="D26" authorId="0">
      <text>
        <r>
          <rPr>
            <b/>
            <sz val="8"/>
            <rFont val="Tahoma"/>
            <family val="0"/>
          </rPr>
          <t>Matt DeMinico:</t>
        </r>
        <r>
          <rPr>
            <sz val="8"/>
            <rFont val="Tahoma"/>
            <family val="0"/>
          </rPr>
          <t xml:space="preserve">
Squat</t>
        </r>
      </text>
    </comment>
    <comment ref="D31" authorId="0">
      <text>
        <r>
          <rPr>
            <b/>
            <sz val="8"/>
            <rFont val="Tahoma"/>
            <family val="0"/>
          </rPr>
          <t>Matt DeMinico:</t>
        </r>
        <r>
          <rPr>
            <sz val="8"/>
            <rFont val="Tahoma"/>
            <family val="0"/>
          </rPr>
          <t xml:space="preserve">
Humerus Length + Forearm Length</t>
        </r>
      </text>
    </comment>
    <comment ref="F40" authorId="0">
      <text>
        <r>
          <rPr>
            <b/>
            <sz val="8"/>
            <rFont val="Tahoma"/>
            <family val="0"/>
          </rPr>
          <t>Matt DeMinico:</t>
        </r>
        <r>
          <rPr>
            <sz val="8"/>
            <rFont val="Tahoma"/>
            <family val="0"/>
          </rPr>
          <t xml:space="preserve">
Femur Length</t>
        </r>
      </text>
    </comment>
    <comment ref="F8" authorId="0">
      <text>
        <r>
          <rPr>
            <b/>
            <sz val="8"/>
            <rFont val="Tahoma"/>
            <family val="0"/>
          </rPr>
          <t xml:space="preserve">Matt DeMinico:
</t>
        </r>
        <r>
          <rPr>
            <sz val="8"/>
            <rFont val="Tahoma"/>
            <family val="2"/>
          </rPr>
          <t>Acromion Height - Humerus Length - Forearm Length - Ankle Height - 1/2 Tibia Height - 1/2 Weight Plate Diameter</t>
        </r>
      </text>
    </comment>
    <comment ref="F30" authorId="0">
      <text>
        <r>
          <rPr>
            <b/>
            <sz val="8"/>
            <rFont val="Tahoma"/>
            <family val="0"/>
          </rPr>
          <t>Matt DeMinico:</t>
        </r>
        <r>
          <rPr>
            <sz val="8"/>
            <rFont val="Tahoma"/>
            <family val="0"/>
          </rPr>
          <t xml:space="preserve">
Humerus + Forearm Length</t>
        </r>
      </text>
    </comment>
    <comment ref="F28" authorId="0">
      <text>
        <r>
          <rPr>
            <b/>
            <sz val="8"/>
            <rFont val="Tahoma"/>
            <family val="0"/>
          </rPr>
          <t>Matt DeMinico:</t>
        </r>
        <r>
          <rPr>
            <sz val="8"/>
            <rFont val="Tahoma"/>
            <family val="0"/>
          </rPr>
          <t xml:space="preserve">
Acromion Height - 1/2 Weight Plate Diameter</t>
        </r>
      </text>
    </comment>
    <comment ref="F41" authorId="0">
      <text>
        <r>
          <rPr>
            <b/>
            <sz val="8"/>
            <rFont val="Tahoma"/>
            <family val="0"/>
          </rPr>
          <t>Matt DeMinico:</t>
        </r>
        <r>
          <rPr>
            <sz val="8"/>
            <rFont val="Tahoma"/>
            <family val="0"/>
          </rPr>
          <t xml:space="preserve">
Acromion Height - 1/2 Weight Plate Diameter</t>
        </r>
      </text>
    </comment>
    <comment ref="F29" authorId="0">
      <text>
        <r>
          <rPr>
            <b/>
            <sz val="8"/>
            <rFont val="Tahoma"/>
            <family val="0"/>
          </rPr>
          <t>Matt DeMinico:</t>
        </r>
        <r>
          <rPr>
            <sz val="8"/>
            <rFont val="Tahoma"/>
            <family val="0"/>
          </rPr>
          <t xml:space="preserve">
Overhead Height - 1/2 Weight Plate Diameter</t>
        </r>
      </text>
    </comment>
    <comment ref="F43" authorId="0">
      <text>
        <r>
          <rPr>
            <b/>
            <sz val="8"/>
            <rFont val="Tahoma"/>
            <family val="0"/>
          </rPr>
          <t>Matt DeMinico:</t>
        </r>
        <r>
          <rPr>
            <sz val="8"/>
            <rFont val="Tahoma"/>
            <family val="0"/>
          </rPr>
          <t xml:space="preserve">
Overhead Height - 1/2 Weight Plate Diameter</t>
        </r>
      </text>
    </comment>
    <comment ref="F26" authorId="0">
      <text>
        <r>
          <rPr>
            <b/>
            <sz val="8"/>
            <rFont val="Tahoma"/>
            <family val="0"/>
          </rPr>
          <t>Matt DeMinico:</t>
        </r>
        <r>
          <rPr>
            <sz val="8"/>
            <rFont val="Tahoma"/>
            <family val="0"/>
          </rPr>
          <t xml:space="preserve">
Squat</t>
        </r>
      </text>
    </comment>
    <comment ref="F31" authorId="0">
      <text>
        <r>
          <rPr>
            <b/>
            <sz val="8"/>
            <rFont val="Tahoma"/>
            <family val="0"/>
          </rPr>
          <t>Matt DeMinico:</t>
        </r>
        <r>
          <rPr>
            <sz val="8"/>
            <rFont val="Tahoma"/>
            <family val="0"/>
          </rPr>
          <t xml:space="preserve">
Humerus Length + Forearm Length</t>
        </r>
      </text>
    </comment>
    <comment ref="B40" authorId="0">
      <text>
        <r>
          <rPr>
            <b/>
            <sz val="8"/>
            <rFont val="Tahoma"/>
            <family val="0"/>
          </rPr>
          <t>Matt DeMinico:</t>
        </r>
        <r>
          <rPr>
            <sz val="8"/>
            <rFont val="Tahoma"/>
            <family val="0"/>
          </rPr>
          <t xml:space="preserve">
Femur &amp; above</t>
        </r>
      </text>
    </comment>
    <comment ref="B8" authorId="0">
      <text>
        <r>
          <rPr>
            <b/>
            <sz val="8"/>
            <rFont val="Tahoma"/>
            <family val="0"/>
          </rPr>
          <t>Matt DeMinico:</t>
        </r>
        <r>
          <rPr>
            <sz val="8"/>
            <rFont val="Tahoma"/>
            <family val="0"/>
          </rPr>
          <t xml:space="preserve">
Femur &amp; above</t>
        </r>
      </text>
    </comment>
    <comment ref="B30" authorId="0">
      <text>
        <r>
          <rPr>
            <b/>
            <sz val="8"/>
            <rFont val="Tahoma"/>
            <family val="0"/>
          </rPr>
          <t>Matt DeMinico:</t>
        </r>
        <r>
          <rPr>
            <sz val="8"/>
            <rFont val="Tahoma"/>
            <family val="0"/>
          </rPr>
          <t xml:space="preserve">
Humerus &amp; out</t>
        </r>
      </text>
    </comment>
    <comment ref="B28" authorId="0">
      <text>
        <r>
          <rPr>
            <b/>
            <sz val="8"/>
            <rFont val="Tahoma"/>
            <family val="0"/>
          </rPr>
          <t>Matt DeMinico:</t>
        </r>
        <r>
          <rPr>
            <sz val="8"/>
            <rFont val="Tahoma"/>
            <family val="0"/>
          </rPr>
          <t xml:space="preserve">
Deadlift</t>
        </r>
      </text>
    </comment>
    <comment ref="B41" authorId="0">
      <text>
        <r>
          <rPr>
            <b/>
            <sz val="8"/>
            <rFont val="Tahoma"/>
            <family val="0"/>
          </rPr>
          <t>Matt DeMinico:</t>
        </r>
        <r>
          <rPr>
            <sz val="8"/>
            <rFont val="Tahoma"/>
            <family val="0"/>
          </rPr>
          <t xml:space="preserve">
Deadlift</t>
        </r>
      </text>
    </comment>
    <comment ref="B29" authorId="0">
      <text>
        <r>
          <rPr>
            <b/>
            <sz val="8"/>
            <rFont val="Tahoma"/>
            <family val="0"/>
          </rPr>
          <t>Matt DeMinico:</t>
        </r>
        <r>
          <rPr>
            <sz val="8"/>
            <rFont val="Tahoma"/>
            <family val="0"/>
          </rPr>
          <t xml:space="preserve">
Deadlift</t>
        </r>
      </text>
    </comment>
    <comment ref="B43" authorId="0">
      <text>
        <r>
          <rPr>
            <b/>
            <sz val="8"/>
            <rFont val="Tahoma"/>
            <family val="0"/>
          </rPr>
          <t>Matt DeMinico:</t>
        </r>
        <r>
          <rPr>
            <sz val="8"/>
            <rFont val="Tahoma"/>
            <family val="0"/>
          </rPr>
          <t xml:space="preserve">
Deadlift</t>
        </r>
      </text>
    </comment>
    <comment ref="B26" authorId="0">
      <text>
        <r>
          <rPr>
            <b/>
            <sz val="8"/>
            <rFont val="Tahoma"/>
            <family val="0"/>
          </rPr>
          <t>Matt DeMinico:</t>
        </r>
        <r>
          <rPr>
            <sz val="8"/>
            <rFont val="Tahoma"/>
            <family val="0"/>
          </rPr>
          <t xml:space="preserve">
Squat</t>
        </r>
      </text>
    </comment>
    <comment ref="B5" authorId="0">
      <text>
        <r>
          <rPr>
            <b/>
            <sz val="8"/>
            <rFont val="Tahoma"/>
            <family val="0"/>
          </rPr>
          <t>Matt DeMinico:</t>
        </r>
        <r>
          <rPr>
            <sz val="8"/>
            <rFont val="Tahoma"/>
            <family val="0"/>
          </rPr>
          <t xml:space="preserve">
Full Body</t>
        </r>
      </text>
    </comment>
    <comment ref="B31" authorId="0">
      <text>
        <r>
          <rPr>
            <b/>
            <sz val="8"/>
            <rFont val="Tahoma"/>
            <family val="0"/>
          </rPr>
          <t>Matt DeMinico:</t>
        </r>
        <r>
          <rPr>
            <sz val="8"/>
            <rFont val="Tahoma"/>
            <family val="0"/>
          </rPr>
          <t xml:space="preserve">
Full Body - hand - forearm</t>
        </r>
      </text>
    </comment>
    <comment ref="B45" authorId="0">
      <text>
        <r>
          <rPr>
            <b/>
            <sz val="8"/>
            <rFont val="Tahoma"/>
            <family val="0"/>
          </rPr>
          <t>Matt DeMinico:</t>
        </r>
        <r>
          <rPr>
            <sz val="8"/>
            <rFont val="Tahoma"/>
            <family val="0"/>
          </rPr>
          <t xml:space="preserve">
Squat</t>
        </r>
      </text>
    </comment>
    <comment ref="D45" authorId="0">
      <text>
        <r>
          <rPr>
            <b/>
            <sz val="8"/>
            <rFont val="Tahoma"/>
            <family val="0"/>
          </rPr>
          <t>Matt DeMinico:</t>
        </r>
        <r>
          <rPr>
            <sz val="8"/>
            <rFont val="Tahoma"/>
            <family val="0"/>
          </rPr>
          <t xml:space="preserve">
Squat</t>
        </r>
      </text>
    </comment>
    <comment ref="F45" authorId="0">
      <text>
        <r>
          <rPr>
            <b/>
            <sz val="8"/>
            <rFont val="Tahoma"/>
            <family val="0"/>
          </rPr>
          <t>Matt DeMinico:</t>
        </r>
        <r>
          <rPr>
            <sz val="8"/>
            <rFont val="Tahoma"/>
            <family val="0"/>
          </rPr>
          <t xml:space="preserve">
Squat + Press</t>
        </r>
      </text>
    </comment>
    <comment ref="C45" authorId="0">
      <text>
        <r>
          <rPr>
            <b/>
            <sz val="8"/>
            <rFont val="Tahoma"/>
            <family val="0"/>
          </rPr>
          <t>Matt DeMinico:</t>
        </r>
        <r>
          <rPr>
            <sz val="8"/>
            <rFont val="Tahoma"/>
            <family val="0"/>
          </rPr>
          <t xml:space="preserve">
Press</t>
        </r>
      </text>
    </comment>
    <comment ref="E45" authorId="0">
      <text>
        <r>
          <rPr>
            <b/>
            <sz val="8"/>
            <rFont val="Tahoma"/>
            <family val="0"/>
          </rPr>
          <t>Matt DeMinico:</t>
        </r>
        <r>
          <rPr>
            <sz val="8"/>
            <rFont val="Tahoma"/>
            <family val="0"/>
          </rPr>
          <t xml:space="preserve">
Press</t>
        </r>
      </text>
    </comment>
    <comment ref="D36" authorId="0">
      <text>
        <r>
          <rPr>
            <b/>
            <sz val="8"/>
            <rFont val="Tahoma"/>
            <family val="0"/>
          </rPr>
          <t>Matt DeMinico:</t>
        </r>
        <r>
          <rPr>
            <sz val="8"/>
            <rFont val="Tahoma"/>
            <family val="0"/>
          </rPr>
          <t xml:space="preserve">
Climb Distance (1' Multiplier)</t>
        </r>
      </text>
    </comment>
    <comment ref="B3" authorId="0">
      <text>
        <r>
          <rPr>
            <b/>
            <sz val="8"/>
            <rFont val="Tahoma"/>
            <family val="0"/>
          </rPr>
          <t>Matt DeMinico:</t>
        </r>
        <r>
          <rPr>
            <sz val="8"/>
            <rFont val="Tahoma"/>
            <family val="0"/>
          </rPr>
          <t xml:space="preserve">
Torso &amp; Above</t>
        </r>
      </text>
    </comment>
    <comment ref="D3" authorId="0">
      <text>
        <r>
          <rPr>
            <b/>
            <sz val="8"/>
            <rFont val="Tahoma"/>
            <family val="0"/>
          </rPr>
          <t>Matt DeMinico:</t>
        </r>
        <r>
          <rPr>
            <sz val="8"/>
            <rFont val="Tahoma"/>
            <family val="0"/>
          </rPr>
          <t xml:space="preserve">
1/2 Torso &amp; Head Length</t>
        </r>
      </text>
    </comment>
    <comment ref="B6" authorId="0">
      <text>
        <r>
          <rPr>
            <b/>
            <sz val="8"/>
            <rFont val="Tahoma"/>
            <family val="0"/>
          </rPr>
          <t>Matt DeMinico:</t>
        </r>
        <r>
          <rPr>
            <sz val="8"/>
            <rFont val="Tahoma"/>
            <family val="0"/>
          </rPr>
          <t xml:space="preserve">
Squat</t>
        </r>
      </text>
    </comment>
    <comment ref="C6" authorId="0">
      <text>
        <r>
          <rPr>
            <b/>
            <sz val="8"/>
            <rFont val="Tahoma"/>
            <family val="0"/>
          </rPr>
          <t>Matt DeMinico:</t>
        </r>
        <r>
          <rPr>
            <sz val="8"/>
            <rFont val="Tahoma"/>
            <family val="0"/>
          </rPr>
          <t xml:space="preserve">
Pushup</t>
        </r>
      </text>
    </comment>
    <comment ref="B34" authorId="0">
      <text>
        <r>
          <rPr>
            <b/>
            <sz val="8"/>
            <rFont val="Tahoma"/>
            <family val="0"/>
          </rPr>
          <t>Matt DeMinico:</t>
        </r>
        <r>
          <rPr>
            <sz val="8"/>
            <rFont val="Tahoma"/>
            <family val="0"/>
          </rPr>
          <t xml:space="preserve">
Bodyweight - feet - forearm - hand</t>
        </r>
      </text>
    </comment>
    <comment ref="D6" authorId="0">
      <text>
        <r>
          <rPr>
            <b/>
            <sz val="8"/>
            <rFont val="Tahoma"/>
            <family val="0"/>
          </rPr>
          <t>Matt DeMinico:</t>
        </r>
        <r>
          <rPr>
            <sz val="8"/>
            <rFont val="Tahoma"/>
            <family val="0"/>
          </rPr>
          <t xml:space="preserve">
Squat</t>
        </r>
      </text>
    </comment>
    <comment ref="E6" authorId="0">
      <text>
        <r>
          <rPr>
            <b/>
            <sz val="8"/>
            <rFont val="Tahoma"/>
            <family val="0"/>
          </rPr>
          <t>Matt DeMinico:</t>
        </r>
        <r>
          <rPr>
            <sz val="8"/>
            <rFont val="Tahoma"/>
            <family val="0"/>
          </rPr>
          <t xml:space="preserve">
Pushup</t>
        </r>
      </text>
    </comment>
    <comment ref="D34" authorId="0">
      <text>
        <r>
          <rPr>
            <b/>
            <sz val="8"/>
            <rFont val="Tahoma"/>
            <family val="0"/>
          </rPr>
          <t>Matt DeMinico:</t>
        </r>
        <r>
          <rPr>
            <sz val="8"/>
            <rFont val="Tahoma"/>
            <family val="0"/>
          </rPr>
          <t xml:space="preserve">
Humerus Length</t>
        </r>
      </text>
    </comment>
    <comment ref="B7" authorId="0">
      <text>
        <r>
          <rPr>
            <b/>
            <sz val="8"/>
            <rFont val="Tahoma"/>
            <family val="0"/>
          </rPr>
          <t>Matt DeMinico:</t>
        </r>
        <r>
          <rPr>
            <sz val="8"/>
            <rFont val="Tahoma"/>
            <family val="0"/>
          </rPr>
          <t xml:space="preserve">
Power Clean</t>
        </r>
      </text>
    </comment>
    <comment ref="C7" authorId="0">
      <text>
        <r>
          <rPr>
            <b/>
            <sz val="8"/>
            <rFont val="Tahoma"/>
            <family val="0"/>
          </rPr>
          <t>Matt DeMinico:</t>
        </r>
        <r>
          <rPr>
            <sz val="8"/>
            <rFont val="Tahoma"/>
            <family val="0"/>
          </rPr>
          <t xml:space="preserve">
Push Jerk</t>
        </r>
      </text>
    </comment>
    <comment ref="D7" authorId="0">
      <text>
        <r>
          <rPr>
            <b/>
            <sz val="8"/>
            <rFont val="Tahoma"/>
            <family val="0"/>
          </rPr>
          <t>Matt DeMinico:</t>
        </r>
        <r>
          <rPr>
            <sz val="8"/>
            <rFont val="Tahoma"/>
            <family val="0"/>
          </rPr>
          <t xml:space="preserve">
Power Clean</t>
        </r>
      </text>
    </comment>
    <comment ref="E7" authorId="0">
      <text>
        <r>
          <rPr>
            <b/>
            <sz val="8"/>
            <rFont val="Tahoma"/>
            <family val="0"/>
          </rPr>
          <t>Matt DeMinico:</t>
        </r>
        <r>
          <rPr>
            <sz val="8"/>
            <rFont val="Tahoma"/>
            <family val="0"/>
          </rPr>
          <t xml:space="preserve">
Push Jerk</t>
        </r>
      </text>
    </comment>
    <comment ref="F7" authorId="0">
      <text>
        <r>
          <rPr>
            <b/>
            <sz val="8"/>
            <rFont val="Tahoma"/>
            <family val="0"/>
          </rPr>
          <t>Matt DeMinico:</t>
        </r>
        <r>
          <rPr>
            <sz val="8"/>
            <rFont val="Tahoma"/>
            <family val="0"/>
          </rPr>
          <t xml:space="preserve">
Overhead Height - 1/2 Weight Plate Diameter</t>
        </r>
      </text>
    </comment>
    <comment ref="B9" authorId="0">
      <text>
        <r>
          <rPr>
            <b/>
            <sz val="8"/>
            <rFont val="Tahoma"/>
            <family val="0"/>
          </rPr>
          <t>Matt DeMinico:</t>
        </r>
        <r>
          <rPr>
            <sz val="8"/>
            <rFont val="Tahoma"/>
            <family val="0"/>
          </rPr>
          <t xml:space="preserve">
Pushup</t>
        </r>
      </text>
    </comment>
    <comment ref="D9" authorId="0">
      <text>
        <r>
          <rPr>
            <b/>
            <sz val="8"/>
            <rFont val="Tahoma"/>
            <family val="0"/>
          </rPr>
          <t>Matt DeMinico:</t>
        </r>
        <r>
          <rPr>
            <sz val="8"/>
            <rFont val="Tahoma"/>
            <family val="0"/>
          </rPr>
          <t xml:space="preserve">
Pushup</t>
        </r>
      </text>
    </comment>
    <comment ref="B10" authorId="0">
      <text>
        <r>
          <rPr>
            <b/>
            <sz val="8"/>
            <rFont val="Tahoma"/>
            <family val="0"/>
          </rPr>
          <t>Matt DeMinico:</t>
        </r>
        <r>
          <rPr>
            <sz val="8"/>
            <rFont val="Tahoma"/>
            <family val="0"/>
          </rPr>
          <t xml:space="preserve">
Full Body</t>
        </r>
      </text>
    </comment>
    <comment ref="D10" authorId="0">
      <text>
        <r>
          <rPr>
            <b/>
            <sz val="8"/>
            <rFont val="Tahoma"/>
            <family val="0"/>
          </rPr>
          <t>Matt DeMinico:</t>
        </r>
        <r>
          <rPr>
            <sz val="8"/>
            <rFont val="Tahoma"/>
            <family val="0"/>
          </rPr>
          <t xml:space="preserve">
2 * Ankle to ground height</t>
        </r>
      </text>
    </comment>
    <comment ref="B12" authorId="0">
      <text>
        <r>
          <rPr>
            <b/>
            <sz val="8"/>
            <rFont val="Tahoma"/>
            <family val="0"/>
          </rPr>
          <t>Matt DeMinico:</t>
        </r>
        <r>
          <rPr>
            <sz val="8"/>
            <rFont val="Tahoma"/>
            <family val="0"/>
          </rPr>
          <t xml:space="preserve">
Squat</t>
        </r>
      </text>
    </comment>
    <comment ref="B13" authorId="1">
      <text>
        <r>
          <rPr>
            <b/>
            <sz val="8"/>
            <rFont val="Tahoma"/>
            <family val="0"/>
          </rPr>
          <t>Matt.Deminico:</t>
        </r>
        <r>
          <rPr>
            <sz val="8"/>
            <rFont val="Tahoma"/>
            <family val="0"/>
          </rPr>
          <t xml:space="preserve">
Situp</t>
        </r>
      </text>
    </comment>
    <comment ref="B14" authorId="1">
      <text>
        <r>
          <rPr>
            <b/>
            <sz val="8"/>
            <rFont val="Tahoma"/>
            <family val="0"/>
          </rPr>
          <t>Matt.Deminico:</t>
        </r>
        <r>
          <rPr>
            <sz val="8"/>
            <rFont val="Tahoma"/>
            <family val="0"/>
          </rPr>
          <t xml:space="preserve">
Full Body - Forearm and out</t>
        </r>
      </text>
    </comment>
    <comment ref="B15" authorId="1">
      <text>
        <r>
          <rPr>
            <b/>
            <sz val="8"/>
            <rFont val="Tahoma"/>
            <family val="0"/>
          </rPr>
          <t>Matt.Deminico:</t>
        </r>
        <r>
          <rPr>
            <sz val="8"/>
            <rFont val="Tahoma"/>
            <family val="0"/>
          </rPr>
          <t xml:space="preserve">
Deadlift</t>
        </r>
      </text>
    </comment>
    <comment ref="B16" authorId="1">
      <text>
        <r>
          <rPr>
            <b/>
            <sz val="8"/>
            <rFont val="Tahoma"/>
            <family val="0"/>
          </rPr>
          <t>Matt.Deminico:</t>
        </r>
        <r>
          <rPr>
            <sz val="8"/>
            <rFont val="Tahoma"/>
            <family val="0"/>
          </rPr>
          <t xml:space="preserve">
Deadlift</t>
        </r>
      </text>
    </comment>
    <comment ref="B17" authorId="1">
      <text>
        <r>
          <rPr>
            <b/>
            <sz val="8"/>
            <rFont val="Tahoma"/>
            <family val="0"/>
          </rPr>
          <t>Matt.Deminico:</t>
        </r>
        <r>
          <rPr>
            <sz val="8"/>
            <rFont val="Tahoma"/>
            <family val="0"/>
          </rPr>
          <t xml:space="preserve">
Deadlift</t>
        </r>
      </text>
    </comment>
    <comment ref="B18" authorId="1">
      <text>
        <r>
          <rPr>
            <b/>
            <sz val="8"/>
            <rFont val="Tahoma"/>
            <family val="0"/>
          </rPr>
          <t>Matt.Deminico:</t>
        </r>
        <r>
          <rPr>
            <sz val="8"/>
            <rFont val="Tahoma"/>
            <family val="0"/>
          </rPr>
          <t xml:space="preserve">
Deadlift</t>
        </r>
      </text>
    </comment>
    <comment ref="B19" authorId="1">
      <text>
        <r>
          <rPr>
            <b/>
            <sz val="8"/>
            <rFont val="Tahoma"/>
            <family val="0"/>
          </rPr>
          <t>Matt.Deminico:</t>
        </r>
        <r>
          <rPr>
            <sz val="8"/>
            <rFont val="Tahoma"/>
            <family val="0"/>
          </rPr>
          <t xml:space="preserve">
Pelvis &amp; above</t>
        </r>
      </text>
    </comment>
    <comment ref="B20" authorId="1">
      <text>
        <r>
          <rPr>
            <b/>
            <sz val="8"/>
            <rFont val="Tahoma"/>
            <family val="0"/>
          </rPr>
          <t>Matt.Deminico:</t>
        </r>
        <r>
          <rPr>
            <sz val="8"/>
            <rFont val="Tahoma"/>
            <family val="0"/>
          </rPr>
          <t xml:space="preserve">
Torso &amp; above</t>
        </r>
      </text>
    </comment>
    <comment ref="B21" authorId="1">
      <text>
        <r>
          <rPr>
            <b/>
            <sz val="8"/>
            <rFont val="Tahoma"/>
            <family val="0"/>
          </rPr>
          <t>Matt.Deminico:</t>
        </r>
        <r>
          <rPr>
            <sz val="8"/>
            <rFont val="Tahoma"/>
            <family val="0"/>
          </rPr>
          <t xml:space="preserve">
Hang Power Clean</t>
        </r>
      </text>
    </comment>
    <comment ref="E41" authorId="1">
      <text>
        <r>
          <rPr>
            <b/>
            <sz val="8"/>
            <rFont val="Tahoma"/>
            <family val="0"/>
          </rPr>
          <t>Matt.Deminico:</t>
        </r>
        <r>
          <rPr>
            <sz val="8"/>
            <rFont val="Tahoma"/>
            <family val="0"/>
          </rPr>
          <t xml:space="preserve">
Squat</t>
        </r>
      </text>
    </comment>
    <comment ref="C41" authorId="1">
      <text>
        <r>
          <rPr>
            <b/>
            <sz val="8"/>
            <rFont val="Tahoma"/>
            <family val="0"/>
          </rPr>
          <t>Matt.Deminico:</t>
        </r>
        <r>
          <rPr>
            <sz val="8"/>
            <rFont val="Tahoma"/>
            <family val="0"/>
          </rPr>
          <t xml:space="preserve">
Squat</t>
        </r>
      </text>
    </comment>
    <comment ref="C43" authorId="1">
      <text>
        <r>
          <rPr>
            <b/>
            <sz val="8"/>
            <rFont val="Tahoma"/>
            <family val="0"/>
          </rPr>
          <t>Matt.Deminico:</t>
        </r>
        <r>
          <rPr>
            <sz val="8"/>
            <rFont val="Tahoma"/>
            <family val="0"/>
          </rPr>
          <t xml:space="preserve">
Squat</t>
        </r>
      </text>
    </comment>
    <comment ref="E43" authorId="1">
      <text>
        <r>
          <rPr>
            <b/>
            <sz val="8"/>
            <rFont val="Tahoma"/>
            <family val="0"/>
          </rPr>
          <t>Matt.Deminico:</t>
        </r>
        <r>
          <rPr>
            <sz val="8"/>
            <rFont val="Tahoma"/>
            <family val="0"/>
          </rPr>
          <t xml:space="preserve">
Squat</t>
        </r>
      </text>
    </comment>
    <comment ref="B42" authorId="1">
      <text>
        <r>
          <rPr>
            <b/>
            <sz val="8"/>
            <rFont val="Tahoma"/>
            <family val="0"/>
          </rPr>
          <t>Matt.Deminico:</t>
        </r>
        <r>
          <rPr>
            <sz val="8"/>
            <rFont val="Tahoma"/>
            <family val="0"/>
          </rPr>
          <t xml:space="preserve">
Deadlift</t>
        </r>
      </text>
    </comment>
    <comment ref="C42" authorId="1">
      <text>
        <r>
          <rPr>
            <b/>
            <sz val="8"/>
            <rFont val="Tahoma"/>
            <family val="0"/>
          </rPr>
          <t>Matt.Deminico:</t>
        </r>
        <r>
          <rPr>
            <sz val="8"/>
            <rFont val="Tahoma"/>
            <family val="0"/>
          </rPr>
          <t xml:space="preserve">
Push Jerk</t>
        </r>
      </text>
    </comment>
    <comment ref="D42" authorId="1">
      <text>
        <r>
          <rPr>
            <b/>
            <sz val="8"/>
            <rFont val="Tahoma"/>
            <family val="0"/>
          </rPr>
          <t>Matt.Deminico:</t>
        </r>
        <r>
          <rPr>
            <sz val="8"/>
            <rFont val="Tahoma"/>
            <family val="0"/>
          </rPr>
          <t xml:space="preserve">
Squat Clean</t>
        </r>
      </text>
    </comment>
    <comment ref="E42" authorId="1">
      <text>
        <r>
          <rPr>
            <b/>
            <sz val="8"/>
            <rFont val="Tahoma"/>
            <family val="0"/>
          </rPr>
          <t>Matt.Deminico:</t>
        </r>
        <r>
          <rPr>
            <sz val="8"/>
            <rFont val="Tahoma"/>
            <family val="0"/>
          </rPr>
          <t xml:space="preserve">
Push Jerk
</t>
        </r>
      </text>
    </comment>
    <comment ref="C17" authorId="1">
      <text>
        <r>
          <rPr>
            <b/>
            <sz val="8"/>
            <rFont val="Tahoma"/>
            <family val="0"/>
          </rPr>
          <t>Matt.Deminico:</t>
        </r>
        <r>
          <rPr>
            <sz val="8"/>
            <rFont val="Tahoma"/>
            <family val="0"/>
          </rPr>
          <t xml:space="preserve">
Squat</t>
        </r>
      </text>
    </comment>
    <comment ref="C18" authorId="1">
      <text>
        <r>
          <rPr>
            <b/>
            <sz val="8"/>
            <rFont val="Tahoma"/>
            <family val="0"/>
          </rPr>
          <t>Matt.Deminico:</t>
        </r>
        <r>
          <rPr>
            <sz val="8"/>
            <rFont val="Tahoma"/>
            <family val="0"/>
          </rPr>
          <t xml:space="preserve">
Squat</t>
        </r>
      </text>
    </comment>
    <comment ref="D17" authorId="1">
      <text>
        <r>
          <rPr>
            <b/>
            <sz val="8"/>
            <rFont val="Tahoma"/>
            <family val="0"/>
          </rPr>
          <t>Matt.Deminico:</t>
        </r>
        <r>
          <rPr>
            <sz val="8"/>
            <rFont val="Tahoma"/>
            <family val="0"/>
          </rPr>
          <t xml:space="preserve">
Pelvis</t>
        </r>
      </text>
    </comment>
    <comment ref="D18" authorId="1">
      <text>
        <r>
          <rPr>
            <b/>
            <sz val="8"/>
            <rFont val="Tahoma"/>
            <family val="0"/>
          </rPr>
          <t>Matt.Deminico:</t>
        </r>
        <r>
          <rPr>
            <sz val="8"/>
            <rFont val="Tahoma"/>
            <family val="0"/>
          </rPr>
          <t xml:space="preserve">
Pelvis</t>
        </r>
      </text>
    </comment>
    <comment ref="E17" authorId="1">
      <text>
        <r>
          <rPr>
            <b/>
            <sz val="8"/>
            <rFont val="Tahoma"/>
            <family val="0"/>
          </rPr>
          <t>Matt.Deminico:</t>
        </r>
        <r>
          <rPr>
            <sz val="8"/>
            <rFont val="Tahoma"/>
            <family val="0"/>
          </rPr>
          <t xml:space="preserve">
Squat</t>
        </r>
      </text>
    </comment>
    <comment ref="E18" authorId="1">
      <text>
        <r>
          <rPr>
            <b/>
            <sz val="8"/>
            <rFont val="Tahoma"/>
            <family val="0"/>
          </rPr>
          <t>Matt.Deminico:</t>
        </r>
        <r>
          <rPr>
            <sz val="8"/>
            <rFont val="Tahoma"/>
            <family val="0"/>
          </rPr>
          <t xml:space="preserve">
Squat</t>
        </r>
      </text>
    </comment>
    <comment ref="D16" authorId="1">
      <text>
        <r>
          <rPr>
            <b/>
            <sz val="8"/>
            <rFont val="Tahoma"/>
            <family val="0"/>
          </rPr>
          <t>Matt.Deminico:</t>
        </r>
        <r>
          <rPr>
            <sz val="8"/>
            <rFont val="Tahoma"/>
            <family val="0"/>
          </rPr>
          <t xml:space="preserve">
Pelvis</t>
        </r>
      </text>
    </comment>
    <comment ref="D15" authorId="1">
      <text>
        <r>
          <rPr>
            <b/>
            <sz val="8"/>
            <rFont val="Tahoma"/>
            <family val="0"/>
          </rPr>
          <t>Matt.Deminico:</t>
        </r>
        <r>
          <rPr>
            <sz val="8"/>
            <rFont val="Tahoma"/>
            <family val="0"/>
          </rPr>
          <t xml:space="preserve">
Pelvis</t>
        </r>
      </text>
    </comment>
    <comment ref="D13" authorId="1">
      <text>
        <r>
          <rPr>
            <b/>
            <sz val="8"/>
            <rFont val="Tahoma"/>
            <family val="0"/>
          </rPr>
          <t>Matt.Deminico:</t>
        </r>
        <r>
          <rPr>
            <sz val="8"/>
            <rFont val="Tahoma"/>
            <family val="0"/>
          </rPr>
          <t xml:space="preserve">
Torso &amp; above length</t>
        </r>
      </text>
    </comment>
    <comment ref="D14" authorId="1">
      <text>
        <r>
          <rPr>
            <b/>
            <sz val="8"/>
            <rFont val="Tahoma"/>
            <family val="0"/>
          </rPr>
          <t>Matt.Deminico:</t>
        </r>
        <r>
          <rPr>
            <sz val="8"/>
            <rFont val="Tahoma"/>
            <family val="0"/>
          </rPr>
          <t xml:space="preserve">
Overhead height - stature</t>
        </r>
      </text>
    </comment>
    <comment ref="D19" authorId="1">
      <text>
        <r>
          <rPr>
            <b/>
            <sz val="8"/>
            <rFont val="Tahoma"/>
            <family val="0"/>
          </rPr>
          <t>Matt.Deminico:</t>
        </r>
        <r>
          <rPr>
            <sz val="8"/>
            <rFont val="Tahoma"/>
            <family val="0"/>
          </rPr>
          <t xml:space="preserve">
1/2 (Torso + Pelvis + Head) length</t>
        </r>
      </text>
    </comment>
    <comment ref="D20" authorId="1">
      <text>
        <r>
          <rPr>
            <b/>
            <sz val="8"/>
            <rFont val="Tahoma"/>
            <family val="0"/>
          </rPr>
          <t>Matt.Deminico:</t>
        </r>
        <r>
          <rPr>
            <sz val="8"/>
            <rFont val="Tahoma"/>
            <family val="0"/>
          </rPr>
          <t xml:space="preserve">
Hip &amp; Back Extension</t>
        </r>
      </text>
    </comment>
    <comment ref="D21" authorId="1">
      <text>
        <r>
          <rPr>
            <b/>
            <sz val="8"/>
            <rFont val="Tahoma"/>
            <family val="0"/>
          </rPr>
          <t>Matt.Deminico:</t>
        </r>
        <r>
          <rPr>
            <sz val="8"/>
            <rFont val="Tahoma"/>
            <family val="0"/>
          </rPr>
          <t xml:space="preserve">
Pelvis</t>
        </r>
      </text>
    </comment>
    <comment ref="D22" authorId="1">
      <text>
        <r>
          <rPr>
            <b/>
            <sz val="8"/>
            <rFont val="Tahoma"/>
            <family val="0"/>
          </rPr>
          <t>Matt.Deminico:</t>
        </r>
        <r>
          <rPr>
            <sz val="8"/>
            <rFont val="Tahoma"/>
            <family val="0"/>
          </rPr>
          <t xml:space="preserve">
1/2 (shoulder height - knee height - humerus length)</t>
        </r>
      </text>
    </comment>
    <comment ref="D23" authorId="1">
      <text>
        <r>
          <rPr>
            <b/>
            <sz val="8"/>
            <rFont val="Tahoma"/>
            <family val="0"/>
          </rPr>
          <t>Matt.Deminico:</t>
        </r>
        <r>
          <rPr>
            <sz val="8"/>
            <rFont val="Tahoma"/>
            <family val="0"/>
          </rPr>
          <t xml:space="preserve">
Pullup</t>
        </r>
      </text>
    </comment>
    <comment ref="D24" authorId="1">
      <text>
        <r>
          <rPr>
            <b/>
            <sz val="8"/>
            <rFont val="Tahoma"/>
            <family val="0"/>
          </rPr>
          <t>Matt.Deminico:</t>
        </r>
        <r>
          <rPr>
            <sz val="8"/>
            <rFont val="Tahoma"/>
            <family val="0"/>
          </rPr>
          <t xml:space="preserve">
Squat Clean</t>
        </r>
      </text>
    </comment>
    <comment ref="E24" authorId="1">
      <text>
        <r>
          <rPr>
            <b/>
            <sz val="8"/>
            <rFont val="Tahoma"/>
            <family val="0"/>
          </rPr>
          <t>Matt.Deminico:</t>
        </r>
        <r>
          <rPr>
            <sz val="8"/>
            <rFont val="Tahoma"/>
            <family val="0"/>
          </rPr>
          <t xml:space="preserve">
Squat Clean</t>
        </r>
      </text>
    </comment>
    <comment ref="D25" authorId="1">
      <text>
        <r>
          <rPr>
            <b/>
            <sz val="8"/>
            <rFont val="Tahoma"/>
            <family val="0"/>
          </rPr>
          <t>Matt.Deminico:</t>
        </r>
        <r>
          <rPr>
            <sz val="8"/>
            <rFont val="Tahoma"/>
            <family val="0"/>
          </rPr>
          <t xml:space="preserve">
2 * (Humerus + forearm length)</t>
        </r>
      </text>
    </comment>
    <comment ref="D27" authorId="1">
      <text>
        <r>
          <rPr>
            <b/>
            <sz val="8"/>
            <rFont val="Tahoma"/>
            <family val="0"/>
          </rPr>
          <t>Matt.Deminico:</t>
        </r>
        <r>
          <rPr>
            <sz val="8"/>
            <rFont val="Tahoma"/>
            <family val="0"/>
          </rPr>
          <t xml:space="preserve">
Squat</t>
        </r>
      </text>
    </comment>
    <comment ref="D32" authorId="1">
      <text>
        <r>
          <rPr>
            <b/>
            <sz val="8"/>
            <rFont val="Tahoma"/>
            <family val="0"/>
          </rPr>
          <t>Matt.Deminico:</t>
        </r>
        <r>
          <rPr>
            <sz val="8"/>
            <rFont val="Tahoma"/>
            <family val="0"/>
          </rPr>
          <t xml:space="preserve">
Pelvis</t>
        </r>
      </text>
    </comment>
    <comment ref="D33" authorId="1">
      <text>
        <r>
          <rPr>
            <b/>
            <sz val="8"/>
            <rFont val="Tahoma"/>
            <family val="0"/>
          </rPr>
          <t>Matt.Deminico:</t>
        </r>
        <r>
          <rPr>
            <sz val="8"/>
            <rFont val="Tahoma"/>
            <family val="0"/>
          </rPr>
          <t xml:space="preserve">
2 * Pelvis</t>
        </r>
      </text>
    </comment>
    <comment ref="D12" authorId="1">
      <text>
        <r>
          <rPr>
            <b/>
            <sz val="8"/>
            <rFont val="Tahoma"/>
            <family val="0"/>
          </rPr>
          <t>Matt.Deminico:</t>
        </r>
        <r>
          <rPr>
            <sz val="8"/>
            <rFont val="Tahoma"/>
            <family val="0"/>
          </rPr>
          <t xml:space="preserve">
Squat</t>
        </r>
      </text>
    </comment>
    <comment ref="D39" authorId="1">
      <text>
        <r>
          <rPr>
            <b/>
            <sz val="8"/>
            <rFont val="Tahoma"/>
            <family val="0"/>
          </rPr>
          <t>Matt.Deminico:</t>
        </r>
        <r>
          <rPr>
            <sz val="8"/>
            <rFont val="Tahoma"/>
            <family val="0"/>
          </rPr>
          <t xml:space="preserve">
1/2 Spine &amp; above length</t>
        </r>
      </text>
    </comment>
    <comment ref="D46" authorId="1">
      <text>
        <r>
          <rPr>
            <b/>
            <sz val="8"/>
            <rFont val="Tahoma"/>
            <family val="0"/>
          </rPr>
          <t>Matt.Deminico:</t>
        </r>
        <r>
          <rPr>
            <sz val="8"/>
            <rFont val="Tahoma"/>
            <family val="0"/>
          </rPr>
          <t xml:space="preserve">
Squat</t>
        </r>
      </text>
    </comment>
    <comment ref="E46" authorId="1">
      <text>
        <r>
          <rPr>
            <b/>
            <sz val="8"/>
            <rFont val="Tahoma"/>
            <family val="0"/>
          </rPr>
          <t>Matt.Deminico:</t>
        </r>
        <r>
          <rPr>
            <sz val="8"/>
            <rFont val="Tahoma"/>
            <family val="0"/>
          </rPr>
          <t xml:space="preserve">
Press</t>
        </r>
      </text>
    </comment>
    <comment ref="D47" authorId="1">
      <text>
        <r>
          <rPr>
            <b/>
            <sz val="8"/>
            <rFont val="Tahoma"/>
            <family val="0"/>
          </rPr>
          <t>Matt.Deminico:</t>
        </r>
        <r>
          <rPr>
            <sz val="8"/>
            <rFont val="Tahoma"/>
            <family val="0"/>
          </rPr>
          <t xml:space="preserve">
Tibia length + ankle height</t>
        </r>
      </text>
    </comment>
    <comment ref="B47" authorId="1">
      <text>
        <r>
          <rPr>
            <b/>
            <sz val="8"/>
            <rFont val="Tahoma"/>
            <family val="0"/>
          </rPr>
          <t>Matt.Deminico:</t>
        </r>
        <r>
          <rPr>
            <sz val="8"/>
            <rFont val="Tahoma"/>
            <family val="0"/>
          </rPr>
          <t xml:space="preserve">
Bodyweight - 1/2 Tibia - Feet</t>
        </r>
      </text>
    </comment>
    <comment ref="B46" authorId="1">
      <text>
        <r>
          <rPr>
            <b/>
            <sz val="8"/>
            <rFont val="Tahoma"/>
            <family val="0"/>
          </rPr>
          <t>Matt.Deminico:</t>
        </r>
        <r>
          <rPr>
            <sz val="8"/>
            <rFont val="Tahoma"/>
            <family val="0"/>
          </rPr>
          <t xml:space="preserve">
Squat</t>
        </r>
      </text>
    </comment>
    <comment ref="C46" authorId="1">
      <text>
        <r>
          <rPr>
            <b/>
            <sz val="8"/>
            <rFont val="Tahoma"/>
            <family val="0"/>
          </rPr>
          <t>Matt.Deminico:</t>
        </r>
        <r>
          <rPr>
            <sz val="8"/>
            <rFont val="Tahoma"/>
            <family val="0"/>
          </rPr>
          <t xml:space="preserve">
Press</t>
        </r>
      </text>
    </comment>
    <comment ref="C44" authorId="1">
      <text>
        <r>
          <rPr>
            <b/>
            <sz val="8"/>
            <rFont val="Tahoma"/>
            <family val="0"/>
          </rPr>
          <t>Matt.Deminico:</t>
        </r>
        <r>
          <rPr>
            <sz val="8"/>
            <rFont val="Tahoma"/>
            <family val="0"/>
          </rPr>
          <t xml:space="preserve">
Humerus &amp; out</t>
        </r>
      </text>
    </comment>
    <comment ref="B44" authorId="1">
      <text>
        <r>
          <rPr>
            <b/>
            <sz val="8"/>
            <rFont val="Tahoma"/>
            <family val="0"/>
          </rPr>
          <t>Matt.Deminico:</t>
        </r>
        <r>
          <rPr>
            <sz val="8"/>
            <rFont val="Tahoma"/>
            <family val="0"/>
          </rPr>
          <t xml:space="preserve">
Deadlift</t>
        </r>
      </text>
    </comment>
    <comment ref="E44" authorId="1">
      <text>
        <r>
          <rPr>
            <b/>
            <sz val="8"/>
            <rFont val="Tahoma"/>
            <family val="0"/>
          </rPr>
          <t>Matt.Deminico:</t>
        </r>
        <r>
          <rPr>
            <sz val="8"/>
            <rFont val="Tahoma"/>
            <family val="0"/>
          </rPr>
          <t xml:space="preserve">
1/2 Humerus &amp; out length</t>
        </r>
      </text>
    </comment>
    <comment ref="B39" authorId="1">
      <text>
        <r>
          <rPr>
            <b/>
            <sz val="8"/>
            <rFont val="Tahoma"/>
            <family val="0"/>
          </rPr>
          <t>Matt.Deminico:</t>
        </r>
        <r>
          <rPr>
            <sz val="8"/>
            <rFont val="Tahoma"/>
            <family val="0"/>
          </rPr>
          <t xml:space="preserve">
Pelvis &amp; above</t>
        </r>
      </text>
    </comment>
    <comment ref="B36" authorId="1">
      <text>
        <r>
          <rPr>
            <b/>
            <sz val="8"/>
            <rFont val="Tahoma"/>
            <family val="0"/>
          </rPr>
          <t>Matt.Deminico:</t>
        </r>
        <r>
          <rPr>
            <sz val="8"/>
            <rFont val="Tahoma"/>
            <family val="0"/>
          </rPr>
          <t xml:space="preserve">
Bodyweight</t>
        </r>
      </text>
    </comment>
    <comment ref="B33" authorId="1">
      <text>
        <r>
          <rPr>
            <b/>
            <sz val="8"/>
            <rFont val="Tahoma"/>
            <family val="0"/>
          </rPr>
          <t>Matt.Deminico:</t>
        </r>
        <r>
          <rPr>
            <sz val="8"/>
            <rFont val="Tahoma"/>
            <family val="0"/>
          </rPr>
          <t xml:space="preserve">
Deadlift</t>
        </r>
      </text>
    </comment>
    <comment ref="B32" authorId="1">
      <text>
        <r>
          <rPr>
            <b/>
            <sz val="8"/>
            <rFont val="Tahoma"/>
            <family val="0"/>
          </rPr>
          <t>Matt.Deminico:</t>
        </r>
        <r>
          <rPr>
            <sz val="8"/>
            <rFont val="Tahoma"/>
            <family val="0"/>
          </rPr>
          <t xml:space="preserve">
Deadlift</t>
        </r>
      </text>
    </comment>
    <comment ref="E33" authorId="1">
      <text>
        <r>
          <rPr>
            <b/>
            <sz val="8"/>
            <rFont val="Tahoma"/>
            <family val="0"/>
          </rPr>
          <t>Matt.Deminico:</t>
        </r>
        <r>
          <rPr>
            <sz val="8"/>
            <rFont val="Tahoma"/>
            <family val="0"/>
          </rPr>
          <t xml:space="preserve">
None (Press is incorporated into push under of jerk)</t>
        </r>
      </text>
    </comment>
    <comment ref="E32" authorId="1">
      <text>
        <r>
          <rPr>
            <b/>
            <sz val="8"/>
            <rFont val="Tahoma"/>
            <family val="0"/>
          </rPr>
          <t>Matt.Deminico:</t>
        </r>
        <r>
          <rPr>
            <sz val="8"/>
            <rFont val="Tahoma"/>
            <family val="0"/>
          </rPr>
          <t xml:space="preserve">
Press</t>
        </r>
      </text>
    </comment>
    <comment ref="C33" authorId="1">
      <text>
        <r>
          <rPr>
            <b/>
            <sz val="8"/>
            <rFont val="Tahoma"/>
            <family val="0"/>
          </rPr>
          <t>Matt.Deminico:</t>
        </r>
        <r>
          <rPr>
            <sz val="8"/>
            <rFont val="Tahoma"/>
            <family val="0"/>
          </rPr>
          <t xml:space="preserve">
None (Press is incorporated into push under of jerk)</t>
        </r>
      </text>
    </comment>
    <comment ref="C32" authorId="1">
      <text>
        <r>
          <rPr>
            <b/>
            <sz val="8"/>
            <rFont val="Tahoma"/>
            <family val="0"/>
          </rPr>
          <t>Matt.Deminico:</t>
        </r>
        <r>
          <rPr>
            <sz val="8"/>
            <rFont val="Tahoma"/>
            <family val="0"/>
          </rPr>
          <t xml:space="preserve">
Press</t>
        </r>
      </text>
    </comment>
    <comment ref="B27" authorId="1">
      <text>
        <r>
          <rPr>
            <b/>
            <sz val="8"/>
            <rFont val="Tahoma"/>
            <family val="0"/>
          </rPr>
          <t>Matt.Deminico:</t>
        </r>
        <r>
          <rPr>
            <sz val="8"/>
            <rFont val="Tahoma"/>
            <family val="0"/>
          </rPr>
          <t xml:space="preserve">
Squat + 1/2 (Tibia Weight + Foot Weight)</t>
        </r>
      </text>
    </comment>
    <comment ref="B25" authorId="1">
      <text>
        <r>
          <rPr>
            <b/>
            <sz val="8"/>
            <rFont val="Tahoma"/>
            <family val="0"/>
          </rPr>
          <t>Matt.Deminico:</t>
        </r>
        <r>
          <rPr>
            <sz val="8"/>
            <rFont val="Tahoma"/>
            <family val="0"/>
          </rPr>
          <t xml:space="preserve">
Bodyweight</t>
        </r>
      </text>
    </comment>
    <comment ref="B24" authorId="1">
      <text>
        <r>
          <rPr>
            <b/>
            <sz val="8"/>
            <rFont val="Tahoma"/>
            <family val="0"/>
          </rPr>
          <t>Matt.Deminico:</t>
        </r>
        <r>
          <rPr>
            <sz val="8"/>
            <rFont val="Tahoma"/>
            <family val="0"/>
          </rPr>
          <t xml:space="preserve">
Deadlift</t>
        </r>
      </text>
    </comment>
    <comment ref="C24" authorId="1">
      <text>
        <r>
          <rPr>
            <b/>
            <sz val="8"/>
            <rFont val="Tahoma"/>
            <family val="0"/>
          </rPr>
          <t>Matt.Deminico:</t>
        </r>
        <r>
          <rPr>
            <sz val="8"/>
            <rFont val="Tahoma"/>
            <family val="0"/>
          </rPr>
          <t xml:space="preserve">
Squat</t>
        </r>
      </text>
    </comment>
    <comment ref="B23" authorId="1">
      <text>
        <r>
          <rPr>
            <b/>
            <sz val="8"/>
            <rFont val="Tahoma"/>
            <family val="0"/>
          </rPr>
          <t>Matt.Deminico:</t>
        </r>
        <r>
          <rPr>
            <sz val="8"/>
            <rFont val="Tahoma"/>
            <family val="0"/>
          </rPr>
          <t xml:space="preserve">
Pullup</t>
        </r>
      </text>
    </comment>
    <comment ref="B22" authorId="1">
      <text>
        <r>
          <rPr>
            <b/>
            <sz val="8"/>
            <rFont val="Tahoma"/>
            <family val="0"/>
          </rPr>
          <t>Matt.Deminico:</t>
        </r>
        <r>
          <rPr>
            <sz val="8"/>
            <rFont val="Tahoma"/>
            <family val="0"/>
          </rPr>
          <t xml:space="preserve">
Pullup</t>
        </r>
      </text>
    </comment>
    <comment ref="F47" authorId="1">
      <text>
        <r>
          <rPr>
            <b/>
            <sz val="8"/>
            <rFont val="Tahoma"/>
            <family val="0"/>
          </rPr>
          <t>Matt.Deminico:</t>
        </r>
        <r>
          <rPr>
            <sz val="8"/>
            <rFont val="Tahoma"/>
            <family val="0"/>
          </rPr>
          <t xml:space="preserve">
Tibia Length + Ankle Height</t>
        </r>
      </text>
    </comment>
    <comment ref="F42" authorId="1">
      <text>
        <r>
          <rPr>
            <b/>
            <sz val="8"/>
            <rFont val="Tahoma"/>
            <family val="0"/>
          </rPr>
          <t>Matt.Deminico:</t>
        </r>
        <r>
          <rPr>
            <sz val="8"/>
            <rFont val="Tahoma"/>
            <family val="0"/>
          </rPr>
          <t xml:space="preserve">
Overhead Height - 1/2 Weight Plate Diameter</t>
        </r>
      </text>
    </comment>
    <comment ref="F44" authorId="1">
      <text>
        <r>
          <rPr>
            <b/>
            <sz val="8"/>
            <rFont val="Tahoma"/>
            <family val="0"/>
          </rPr>
          <t>Matt.Deminico:</t>
        </r>
        <r>
          <rPr>
            <sz val="8"/>
            <rFont val="Tahoma"/>
            <family val="0"/>
          </rPr>
          <t xml:space="preserve">
Acromion Height - 1/2 Weight Plate Diameter</t>
        </r>
      </text>
    </comment>
    <comment ref="F9" authorId="1">
      <text>
        <r>
          <rPr>
            <b/>
            <sz val="8"/>
            <rFont val="Tahoma"/>
            <family val="2"/>
          </rPr>
          <t>Matt.Deminico:</t>
        </r>
        <r>
          <rPr>
            <sz val="8"/>
            <rFont val="Tahoma"/>
            <family val="2"/>
          </rPr>
          <t xml:space="preserve">
Humerus Length</t>
        </r>
      </text>
    </comment>
    <comment ref="F12" authorId="1">
      <text>
        <r>
          <rPr>
            <b/>
            <sz val="8"/>
            <rFont val="Tahoma"/>
            <family val="2"/>
          </rPr>
          <t>Matt.Deminico:</t>
        </r>
        <r>
          <rPr>
            <sz val="8"/>
            <rFont val="Tahoma"/>
            <family val="2"/>
          </rPr>
          <t xml:space="preserve">
Squat</t>
        </r>
      </text>
    </comment>
    <comment ref="F14" authorId="1">
      <text>
        <r>
          <rPr>
            <b/>
            <sz val="8"/>
            <rFont val="Tahoma"/>
            <family val="2"/>
          </rPr>
          <t>Matt.Deminico:</t>
        </r>
        <r>
          <rPr>
            <sz val="8"/>
            <rFont val="Tahoma"/>
            <family val="2"/>
          </rPr>
          <t xml:space="preserve">
Overhead Height - Stature</t>
        </r>
      </text>
    </comment>
    <comment ref="F15" authorId="1">
      <text>
        <r>
          <rPr>
            <b/>
            <sz val="8"/>
            <rFont val="Tahoma"/>
            <family val="2"/>
          </rPr>
          <t>Matt.Deminico:</t>
        </r>
        <r>
          <rPr>
            <sz val="8"/>
            <rFont val="Tahoma"/>
            <family val="2"/>
          </rPr>
          <t xml:space="preserve">
Pelvis Length + Torso Length</t>
        </r>
      </text>
    </comment>
    <comment ref="F17" authorId="1">
      <text>
        <r>
          <rPr>
            <b/>
            <sz val="8"/>
            <rFont val="Tahoma"/>
            <family val="2"/>
          </rPr>
          <t>Matt.Deminico:</t>
        </r>
        <r>
          <rPr>
            <sz val="8"/>
            <rFont val="Tahoma"/>
            <family val="2"/>
          </rPr>
          <t xml:space="preserve">
Pelvis Length + Torso Length</t>
        </r>
      </text>
    </comment>
    <comment ref="F16" authorId="1">
      <text>
        <r>
          <rPr>
            <b/>
            <sz val="8"/>
            <rFont val="Tahoma"/>
            <family val="2"/>
          </rPr>
          <t>Matt.Deminico:</t>
        </r>
        <r>
          <rPr>
            <sz val="8"/>
            <rFont val="Tahoma"/>
            <family val="2"/>
          </rPr>
          <t xml:space="preserve">
Overhead Height + Pelvis - Femur - Tibia - Ankle to ground</t>
        </r>
      </text>
    </comment>
    <comment ref="F18" authorId="1">
      <text>
        <r>
          <rPr>
            <b/>
            <sz val="8"/>
            <rFont val="Tahoma"/>
            <family val="2"/>
          </rPr>
          <t>Matt.Deminico:</t>
        </r>
        <r>
          <rPr>
            <sz val="8"/>
            <rFont val="Tahoma"/>
            <family val="2"/>
          </rPr>
          <t xml:space="preserve">
Overhead Height + Pelvis - Femur - Tibia - Ankle to ground</t>
        </r>
      </text>
    </comment>
    <comment ref="F21" authorId="1">
      <text>
        <r>
          <rPr>
            <b/>
            <sz val="8"/>
            <rFont val="Tahoma"/>
            <family val="2"/>
          </rPr>
          <t>Matt.Deminico:</t>
        </r>
        <r>
          <rPr>
            <sz val="8"/>
            <rFont val="Tahoma"/>
            <family val="2"/>
          </rPr>
          <t xml:space="preserve">
Stature - Femur - Tibia - Ankle height</t>
        </r>
      </text>
    </comment>
    <comment ref="F23" authorId="1">
      <text>
        <r>
          <rPr>
            <b/>
            <sz val="8"/>
            <rFont val="Tahoma"/>
            <family val="2"/>
          </rPr>
          <t>Matt.Deminico:</t>
        </r>
        <r>
          <rPr>
            <sz val="8"/>
            <rFont val="Tahoma"/>
            <family val="2"/>
          </rPr>
          <t xml:space="preserve">
Pullup</t>
        </r>
      </text>
    </comment>
    <comment ref="B38" authorId="1">
      <text>
        <r>
          <rPr>
            <b/>
            <sz val="8"/>
            <rFont val="Tahoma"/>
            <family val="0"/>
          </rPr>
          <t>Matt.Deminico:</t>
        </r>
        <r>
          <rPr>
            <sz val="8"/>
            <rFont val="Tahoma"/>
            <family val="0"/>
          </rPr>
          <t xml:space="preserve">
Bodyweight</t>
        </r>
      </text>
    </comment>
    <comment ref="F25" authorId="1">
      <text>
        <r>
          <rPr>
            <b/>
            <sz val="8"/>
            <rFont val="Tahoma"/>
            <family val="2"/>
          </rPr>
          <t>Matt.Deminico:</t>
        </r>
        <r>
          <rPr>
            <sz val="8"/>
            <rFont val="Tahoma"/>
            <family val="2"/>
          </rPr>
          <t xml:space="preserve">
2 * (Humerus + forearm length)</t>
        </r>
      </text>
    </comment>
    <comment ref="F27" authorId="1">
      <text>
        <r>
          <rPr>
            <b/>
            <sz val="8"/>
            <rFont val="Tahoma"/>
            <family val="2"/>
          </rPr>
          <t>Matt.Deminico:</t>
        </r>
        <r>
          <rPr>
            <sz val="8"/>
            <rFont val="Tahoma"/>
            <family val="2"/>
          </rPr>
          <t xml:space="preserve">
Squat</t>
        </r>
      </text>
    </comment>
    <comment ref="F32" authorId="1">
      <text>
        <r>
          <rPr>
            <b/>
            <sz val="8"/>
            <rFont val="Tahoma"/>
            <family val="2"/>
          </rPr>
          <t>Matt.Deminico:</t>
        </r>
        <r>
          <rPr>
            <sz val="8"/>
            <rFont val="Tahoma"/>
            <family val="2"/>
          </rPr>
          <t xml:space="preserve">
Press + Pelvis Height</t>
        </r>
      </text>
    </comment>
    <comment ref="F33" authorId="1">
      <text>
        <r>
          <rPr>
            <b/>
            <sz val="8"/>
            <rFont val="Tahoma"/>
            <family val="2"/>
          </rPr>
          <t>Matt.Deminico:</t>
        </r>
        <r>
          <rPr>
            <sz val="8"/>
            <rFont val="Tahoma"/>
            <family val="2"/>
          </rPr>
          <t xml:space="preserve">
Press + Pelvis Height</t>
        </r>
      </text>
    </comment>
    <comment ref="B35" authorId="0">
      <text>
        <r>
          <rPr>
            <b/>
            <sz val="8"/>
            <rFont val="Tahoma"/>
            <family val="0"/>
          </rPr>
          <t>Matt DeMinico:</t>
        </r>
        <r>
          <rPr>
            <sz val="8"/>
            <rFont val="Tahoma"/>
            <family val="0"/>
          </rPr>
          <t xml:space="preserve">
Pushup</t>
        </r>
      </text>
    </comment>
    <comment ref="D35" authorId="0">
      <text>
        <r>
          <rPr>
            <b/>
            <sz val="8"/>
            <rFont val="Tahoma"/>
            <family val="0"/>
          </rPr>
          <t>Matt DeMinico:</t>
        </r>
        <r>
          <rPr>
            <sz val="8"/>
            <rFont val="Tahoma"/>
            <family val="0"/>
          </rPr>
          <t xml:space="preserve">
Pushup</t>
        </r>
      </text>
    </comment>
    <comment ref="F35" authorId="1">
      <text>
        <r>
          <rPr>
            <b/>
            <sz val="8"/>
            <rFont val="Tahoma"/>
            <family val="2"/>
          </rPr>
          <t>Matt.Deminico:</t>
        </r>
        <r>
          <rPr>
            <sz val="8"/>
            <rFont val="Tahoma"/>
            <family val="2"/>
          </rPr>
          <t xml:space="preserve">
Humerus Length</t>
        </r>
      </text>
    </comment>
    <comment ref="F4" authorId="1">
      <text>
        <r>
          <rPr>
            <b/>
            <sz val="8"/>
            <rFont val="Tahoma"/>
            <family val="2"/>
          </rPr>
          <t>Matt.Deminico:</t>
        </r>
        <r>
          <rPr>
            <sz val="8"/>
            <rFont val="Tahoma"/>
            <family val="2"/>
          </rPr>
          <t xml:space="preserve">
Forearm length + 1/2 Humerus Length</t>
        </r>
      </text>
    </comment>
    <comment ref="B4" authorId="1">
      <text>
        <r>
          <rPr>
            <b/>
            <sz val="8"/>
            <rFont val="Tahoma"/>
            <family val="2"/>
          </rPr>
          <t>Matt.Deminico:</t>
        </r>
        <r>
          <rPr>
            <sz val="8"/>
            <rFont val="Tahoma"/>
            <family val="2"/>
          </rPr>
          <t xml:space="preserve">
Humerus &amp; Out</t>
        </r>
      </text>
    </comment>
    <comment ref="D4" authorId="1">
      <text>
        <r>
          <rPr>
            <b/>
            <sz val="8"/>
            <rFont val="Tahoma"/>
            <family val="2"/>
          </rPr>
          <t>Matt.Deminico:</t>
        </r>
        <r>
          <rPr>
            <sz val="8"/>
            <rFont val="Tahoma"/>
            <family val="2"/>
          </rPr>
          <t xml:space="preserve">
1/2 (Humerus + Forearm Length)</t>
        </r>
      </text>
    </comment>
    <comment ref="F10" authorId="1">
      <text>
        <r>
          <rPr>
            <b/>
            <sz val="8"/>
            <rFont val="Tahoma"/>
            <family val="0"/>
          </rPr>
          <t>Matt.Deminico:</t>
        </r>
        <r>
          <rPr>
            <sz val="8"/>
            <rFont val="Tahoma"/>
            <family val="0"/>
          </rPr>
          <t xml:space="preserve">
Stature * 2</t>
        </r>
      </text>
    </comment>
    <comment ref="B37" authorId="1">
      <text>
        <r>
          <rPr>
            <b/>
            <sz val="8"/>
            <rFont val="Tahoma"/>
            <family val="2"/>
          </rPr>
          <t>Matt.Deminico:</t>
        </r>
        <r>
          <rPr>
            <sz val="8"/>
            <rFont val="Tahoma"/>
            <family val="2"/>
          </rPr>
          <t xml:space="preserve">
Bodyweight</t>
        </r>
      </text>
    </comment>
    <comment ref="G37" authorId="1">
      <text>
        <r>
          <rPr>
            <b/>
            <sz val="8"/>
            <rFont val="Tahoma"/>
            <family val="2"/>
          </rPr>
          <t>Matt.Deminico:</t>
        </r>
        <r>
          <rPr>
            <sz val="8"/>
            <rFont val="Tahoma"/>
            <family val="2"/>
          </rPr>
          <t xml:space="preserve">
This is work done per meter traveled</t>
        </r>
      </text>
    </comment>
    <comment ref="G38" authorId="1">
      <text>
        <r>
          <rPr>
            <b/>
            <sz val="8"/>
            <rFont val="Tahoma"/>
            <family val="2"/>
          </rPr>
          <t>Matt.Deminico:</t>
        </r>
        <r>
          <rPr>
            <sz val="8"/>
            <rFont val="Tahoma"/>
            <family val="2"/>
          </rPr>
          <t xml:space="preserve">
This is work done per meter traveled</t>
        </r>
      </text>
    </comment>
  </commentList>
</comments>
</file>

<file path=xl/comments4.xml><?xml version="1.0" encoding="utf-8"?>
<comments xmlns="http://schemas.openxmlformats.org/spreadsheetml/2006/main">
  <authors>
    <author>Matt.Deminico</author>
  </authors>
  <commentList>
    <comment ref="B32" authorId="0">
      <text>
        <r>
          <rPr>
            <b/>
            <sz val="8"/>
            <rFont val="Tahoma"/>
            <family val="0"/>
          </rPr>
          <t>Matt.Deminico:</t>
        </r>
        <r>
          <rPr>
            <sz val="8"/>
            <rFont val="Tahoma"/>
            <family val="0"/>
          </rPr>
          <t xml:space="preserve">
13.9 originally</t>
        </r>
      </text>
    </comment>
  </commentList>
</comments>
</file>

<file path=xl/sharedStrings.xml><?xml version="1.0" encoding="utf-8"?>
<sst xmlns="http://schemas.openxmlformats.org/spreadsheetml/2006/main" count="1110" uniqueCount="188">
  <si>
    <t>Movement</t>
  </si>
  <si>
    <t>Squat</t>
  </si>
  <si>
    <t>Deadlift</t>
  </si>
  <si>
    <t>Press</t>
  </si>
  <si>
    <t>Power Clean</t>
  </si>
  <si>
    <t>Power Snatch</t>
  </si>
  <si>
    <t>OHS</t>
  </si>
  <si>
    <t>Component</t>
  </si>
  <si>
    <t>Tibia</t>
  </si>
  <si>
    <t>Femur</t>
  </si>
  <si>
    <t>Pelvis</t>
  </si>
  <si>
    <t>Spine</t>
  </si>
  <si>
    <t>Head</t>
  </si>
  <si>
    <t>Humerus</t>
  </si>
  <si>
    <t>Forearm</t>
  </si>
  <si>
    <t>Hand</t>
  </si>
  <si>
    <t>Foot</t>
  </si>
  <si>
    <t>Weight per inch</t>
  </si>
  <si>
    <t>Length in inches</t>
  </si>
  <si>
    <t>Male</t>
  </si>
  <si>
    <t>Weight</t>
  </si>
  <si>
    <t>Torso</t>
  </si>
  <si>
    <t>N/A</t>
  </si>
  <si>
    <t>Legs</t>
  </si>
  <si>
    <t>Arms</t>
  </si>
  <si>
    <t>Head &amp; neck</t>
  </si>
  <si>
    <t>Component Weight</t>
  </si>
  <si>
    <t>Overall Height</t>
  </si>
  <si>
    <t>Height in inches</t>
  </si>
  <si>
    <t>Ankle to Ground</t>
  </si>
  <si>
    <t>Weight (kg)</t>
  </si>
  <si>
    <t>Age (years)</t>
  </si>
  <si>
    <t>Stature (cm)</t>
  </si>
  <si>
    <t>Avg</t>
  </si>
  <si>
    <t>Height (cm)</t>
  </si>
  <si>
    <t>Avg (lbs, inches)</t>
  </si>
  <si>
    <t>lbs/inch</t>
  </si>
  <si>
    <t>inch</t>
  </si>
  <si>
    <t>Stature</t>
  </si>
  <si>
    <t>Neck</t>
  </si>
  <si>
    <t>Thorax &amp; Abdomen</t>
  </si>
  <si>
    <t>Upper Arm</t>
  </si>
  <si>
    <t>Hip Flap &amp; Thigh</t>
  </si>
  <si>
    <t>Calf</t>
  </si>
  <si>
    <t>(kg)</t>
  </si>
  <si>
    <t>Qty</t>
  </si>
  <si>
    <t>lbs</t>
  </si>
  <si>
    <t>Total (kg)</t>
  </si>
  <si>
    <t>Ankle Height</t>
  </si>
  <si>
    <t>Head &amp; Neck</t>
  </si>
  <si>
    <t>(cm)</t>
  </si>
  <si>
    <t>Foot length</t>
  </si>
  <si>
    <t>Hand length</t>
  </si>
  <si>
    <t>sum</t>
  </si>
  <si>
    <t>(in)</t>
  </si>
  <si>
    <t>lbs/in</t>
  </si>
  <si>
    <t>Foot length + ankle height</t>
  </si>
  <si>
    <t>% BW</t>
  </si>
  <si>
    <t>small lady</t>
  </si>
  <si>
    <t>big dude</t>
  </si>
  <si>
    <t>Minus Head &amp; Neck</t>
  </si>
  <si>
    <t>Overhead Height</t>
  </si>
  <si>
    <t>Box Jump</t>
  </si>
  <si>
    <t>Pullup</t>
  </si>
  <si>
    <t>BW Work Done Per Rep
(ft-lbs)</t>
  </si>
  <si>
    <t>Thruster</t>
  </si>
  <si>
    <t>BW Total Weight Moved (Part 1) (lbs)</t>
  </si>
  <si>
    <t>BW Total weight Moved (Part 2) (lbs)</t>
  </si>
  <si>
    <t>BW Work Done (ft-lbs)</t>
  </si>
  <si>
    <t>Weight Work Done (ft-lbs)</t>
  </si>
  <si>
    <t>Weight Distance Moved (feet)</t>
  </si>
  <si>
    <t>ft-lbs</t>
  </si>
  <si>
    <t>Watts</t>
  </si>
  <si>
    <t>Horsepower</t>
  </si>
  <si>
    <t>Squat Clean</t>
  </si>
  <si>
    <t>Squat Snatch</t>
  </si>
  <si>
    <t>Hang Power Clean</t>
  </si>
  <si>
    <t>Hang Squat Clean</t>
  </si>
  <si>
    <t>Hang Power Snatch</t>
  </si>
  <si>
    <t>Hang Squat Snatch</t>
  </si>
  <si>
    <t>Calculated sum of all parts</t>
  </si>
  <si>
    <t>Calculated sum of parts below neck</t>
  </si>
  <si>
    <t>Muscle up</t>
  </si>
  <si>
    <t>Dip</t>
  </si>
  <si>
    <t>Back Extension</t>
  </si>
  <si>
    <t>Hip Extension</t>
  </si>
  <si>
    <t>Hip &amp; Back Extension</t>
  </si>
  <si>
    <t>Burpee</t>
  </si>
  <si>
    <t>Pushup</t>
  </si>
  <si>
    <t>Squat Clean &amp; Jerk</t>
  </si>
  <si>
    <t>Front Squat</t>
  </si>
  <si>
    <t>Push Press</t>
  </si>
  <si>
    <t>Push Jerk</t>
  </si>
  <si>
    <t>GHD Situp</t>
  </si>
  <si>
    <t>Situp</t>
  </si>
  <si>
    <t>Handstand Pushup</t>
  </si>
  <si>
    <t>Knees to Elbows</t>
  </si>
  <si>
    <t>L-Pullup</t>
  </si>
  <si>
    <t>Medicine Ball Clean</t>
  </si>
  <si>
    <t>Rope Climb</t>
  </si>
  <si>
    <t>Sumo Deadlift High Pull</t>
  </si>
  <si>
    <t>Wall Ball</t>
  </si>
  <si>
    <t>Pistol</t>
  </si>
  <si>
    <t>Walking Lunge</t>
  </si>
  <si>
    <t>Double Under</t>
  </si>
  <si>
    <t>Run</t>
  </si>
  <si>
    <t>Row</t>
  </si>
  <si>
    <t>Kettlebell Swing</t>
  </si>
  <si>
    <t>Weight (lbs)</t>
  </si>
  <si>
    <t>Total Reps</t>
  </si>
  <si>
    <t>Total Work Done (ft-lbs)</t>
  </si>
  <si>
    <t>Total Sec</t>
  </si>
  <si>
    <t>ft-lbs/sec</t>
  </si>
  <si>
    <t>Time
(min)</t>
  </si>
  <si>
    <t>Time
(sec)</t>
  </si>
  <si>
    <t>BW Distance Moved (Part 1) (feet)</t>
  </si>
  <si>
    <t>BW Distance Moved (Part 2) (feet)</t>
  </si>
  <si>
    <t>Inches to feet conversion:</t>
  </si>
  <si>
    <t>inches</t>
  </si>
  <si>
    <t>feet</t>
  </si>
  <si>
    <r>
      <t xml:space="preserve">Height Body Moved (feet)
</t>
    </r>
    <r>
      <rPr>
        <sz val="8"/>
        <color indexed="8"/>
        <rFont val="Calibri"/>
        <family val="0"/>
      </rPr>
      <t>(only for select movements)</t>
    </r>
  </si>
  <si>
    <t>Angie</t>
  </si>
  <si>
    <t>Annie</t>
  </si>
  <si>
    <t>Barbara</t>
  </si>
  <si>
    <t>Badger</t>
  </si>
  <si>
    <t>Chelsea</t>
  </si>
  <si>
    <t>Cindy</t>
  </si>
  <si>
    <t>Diane</t>
  </si>
  <si>
    <t>Elizabeth</t>
  </si>
  <si>
    <t>Eva</t>
  </si>
  <si>
    <t>Fran</t>
  </si>
  <si>
    <t>Grace</t>
  </si>
  <si>
    <t>Helen</t>
  </si>
  <si>
    <t>Isabel</t>
  </si>
  <si>
    <t>Jackie</t>
  </si>
  <si>
    <t>Karen</t>
  </si>
  <si>
    <t>Kelly</t>
  </si>
  <si>
    <t>Linda</t>
  </si>
  <si>
    <t>Lynne</t>
  </si>
  <si>
    <t>Mary</t>
  </si>
  <si>
    <t>Nancy</t>
  </si>
  <si>
    <t>Nicole</t>
  </si>
  <si>
    <t>JT</t>
  </si>
  <si>
    <t>Michael</t>
  </si>
  <si>
    <t>Murph</t>
  </si>
  <si>
    <t>Daniel</t>
  </si>
  <si>
    <t>Jason</t>
  </si>
  <si>
    <t>Josh</t>
  </si>
  <si>
    <t>Joshie</t>
  </si>
  <si>
    <t>Nate</t>
  </si>
  <si>
    <t>Randy</t>
  </si>
  <si>
    <t>Ryan</t>
  </si>
  <si>
    <t>Tommy V</t>
  </si>
  <si>
    <t>Griff</t>
  </si>
  <si>
    <t>Mr. Joshua</t>
  </si>
  <si>
    <t>Erin</t>
  </si>
  <si>
    <t>Empty</t>
  </si>
  <si>
    <t>Clean &amp; Jerk (Power Clean)</t>
  </si>
  <si>
    <t>Reps</t>
  </si>
  <si>
    <t>Exercise</t>
  </si>
  <si>
    <t>Ring Dip</t>
  </si>
  <si>
    <t>Bench Press</t>
  </si>
  <si>
    <t>Note: For benchmarks below, the reps will show the total reps for the whole workout, not the breakout of each movement.  Look on the main CrossFit page www.crossfit.com to find out the actual rep scheme, etc.</t>
  </si>
  <si>
    <r>
      <t xml:space="preserve">Height  Weight Actually Moved (feet)
</t>
    </r>
    <r>
      <rPr>
        <sz val="8"/>
        <color indexed="8"/>
        <rFont val="Calibri"/>
        <family val="0"/>
      </rPr>
      <t>(calculated  for wall ball)</t>
    </r>
  </si>
  <si>
    <r>
      <t xml:space="preserve">Target Height (feet)
</t>
    </r>
    <r>
      <rPr>
        <sz val="8"/>
        <color indexed="8"/>
        <rFont val="Calibri"/>
        <family val="0"/>
      </rPr>
      <t>(only for wall ball)</t>
    </r>
  </si>
  <si>
    <t>Note: Rope Climbs are 15ft RX'd.  Remember to enter height</t>
  </si>
  <si>
    <r>
      <rPr>
        <sz val="11"/>
        <color indexed="10"/>
        <rFont val="Calibri"/>
        <family val="2"/>
      </rPr>
      <t>READ ALL COMMENTS</t>
    </r>
    <r>
      <rPr>
        <sz val="11"/>
        <color theme="1"/>
        <rFont val="Calibri"/>
        <family val="2"/>
      </rPr>
      <t xml:space="preserve"> before entering data in yellow cells (Cells with a little red triangle in the top right corner have comments, hover the mouse over them to view comments)</t>
    </r>
  </si>
  <si>
    <t>Workout Total Work Output:</t>
  </si>
  <si>
    <t>Power:</t>
  </si>
  <si>
    <t>Run (Very rough estimate)</t>
  </si>
  <si>
    <t>Row (Very rough estimate)</t>
  </si>
  <si>
    <t>Task Priority Benchmarks (Fixed work, variable time)</t>
  </si>
  <si>
    <t>Time Priority Benchmarks (Fixed time, variable work)</t>
  </si>
  <si>
    <t>TASK PRIORITY</t>
  </si>
  <si>
    <t>TIME PRIORITY</t>
  </si>
  <si>
    <t>Time (min)</t>
  </si>
  <si>
    <t>Note: This workout is difficult to automatically calculate</t>
  </si>
  <si>
    <t>Please use custom workout area at top of sheet</t>
  </si>
  <si>
    <t># Extra reps</t>
  </si>
  <si>
    <t>Total # of Rounds Completed:</t>
  </si>
  <si>
    <t>Work Done
Per Round (ft-lbs)</t>
  </si>
  <si>
    <t>Acromion Height</t>
  </si>
  <si>
    <t>Please read all notes for each body component (each field with a red triangle at the top has a note for it).  Place the mouse over that box to see the note</t>
  </si>
  <si>
    <t>Weight minus calculated head and neck weight</t>
  </si>
  <si>
    <t>Weight Plate Diameter (in inches)</t>
  </si>
  <si>
    <t>Note: Power Cleans are DB Split Cleans - 2 x 25 lb DB's</t>
  </si>
  <si>
    <t>Note: Power Snatches are DB Snatches - 1 x 25lb DB</t>
  </si>
  <si>
    <t>Note: For benchmarks below, the reps will show the total reps for each round.  You must enter the total # of rounds completed at the bottom, and can also add additional reps completed for each movement on the right side of this table.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</si>
</sst>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
    <numFmt numFmtId="169" formatCode="###,###"/>
    <numFmt numFmtId="170" formatCode="###,"/>
    <numFmt numFmtId="171" formatCode="0.0000"/>
    <numFmt numFmtId="172" formatCode="0.000"/>
  </numFmts>
  <fonts count="46">
    <font>
      <sz val="11"/>
      <color theme="1"/>
      <name val="Calibri"/>
      <family val="2"/>
    </font>
    <font>
      <sz val="11"/>
      <color indexed="8"/>
      <name val="Calibri"/>
      <family val="2"/>
    </font>
    <font>
      <sz val="8"/>
      <name val="Tahoma"/>
      <family val="2"/>
    </font>
    <font>
      <b/>
      <sz val="8"/>
      <name val="Tahoma"/>
      <family val="2"/>
    </font>
    <font>
      <b/>
      <sz val="11"/>
      <color indexed="8"/>
      <name val="Calibri"/>
      <family val="2"/>
    </font>
    <font>
      <sz val="10"/>
      <color indexed="10"/>
      <name val="Calibri"/>
      <family val="2"/>
    </font>
    <font>
      <strike/>
      <sz val="11"/>
      <color indexed="8"/>
      <name val="Calibri"/>
      <family val="2"/>
    </font>
    <font>
      <b/>
      <sz val="10"/>
      <color indexed="8"/>
      <name val="Calibri"/>
      <family val="0"/>
    </font>
    <font>
      <sz val="8"/>
      <color indexed="10"/>
      <name val="Tahoma"/>
      <family val="2"/>
    </font>
    <font>
      <b/>
      <sz val="8"/>
      <color indexed="8"/>
      <name val="Calibri"/>
      <family val="0"/>
    </font>
    <font>
      <sz val="8"/>
      <color indexed="8"/>
      <name val="Calibri"/>
      <family val="0"/>
    </font>
    <font>
      <sz val="10"/>
      <color indexed="8"/>
      <name val="Calibri"/>
      <family val="0"/>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indexed="13"/>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8">
    <xf numFmtId="0" fontId="0" fillId="0" borderId="0" xfId="0" applyFont="1" applyAlignment="1">
      <alignment/>
    </xf>
    <xf numFmtId="9" fontId="0" fillId="0" borderId="0" xfId="0" applyNumberFormat="1" applyAlignment="1">
      <alignment/>
    </xf>
    <xf numFmtId="0" fontId="4" fillId="0" borderId="0" xfId="0" applyFont="1" applyAlignment="1">
      <alignment wrapText="1"/>
    </xf>
    <xf numFmtId="0" fontId="0" fillId="0" borderId="0" xfId="0" applyBorder="1" applyAlignment="1">
      <alignment/>
    </xf>
    <xf numFmtId="0" fontId="0" fillId="0" borderId="10" xfId="0" applyFill="1" applyBorder="1" applyAlignment="1">
      <alignment/>
    </xf>
    <xf numFmtId="0" fontId="0" fillId="0" borderId="11" xfId="0" applyBorder="1" applyAlignment="1">
      <alignment/>
    </xf>
    <xf numFmtId="0" fontId="0" fillId="0" borderId="12" xfId="0" applyFill="1" applyBorder="1" applyAlignment="1">
      <alignment/>
    </xf>
    <xf numFmtId="0" fontId="0" fillId="0" borderId="13" xfId="0" applyBorder="1" applyAlignment="1">
      <alignment/>
    </xf>
    <xf numFmtId="0" fontId="0" fillId="0" borderId="14" xfId="0"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Fill="1" applyBorder="1" applyAlignment="1">
      <alignment/>
    </xf>
    <xf numFmtId="0" fontId="0" fillId="0" borderId="18" xfId="0" applyBorder="1" applyAlignment="1">
      <alignment/>
    </xf>
    <xf numFmtId="9" fontId="4" fillId="0" borderId="0" xfId="0" applyNumberFormat="1" applyFont="1" applyAlignment="1">
      <alignment wrapText="1"/>
    </xf>
    <xf numFmtId="0" fontId="0" fillId="0" borderId="18" xfId="0" applyFill="1" applyBorder="1" applyAlignment="1">
      <alignment/>
    </xf>
    <xf numFmtId="0" fontId="6" fillId="0" borderId="15" xfId="0" applyFont="1" applyBorder="1" applyAlignment="1">
      <alignment/>
    </xf>
    <xf numFmtId="0" fontId="0" fillId="0" borderId="0" xfId="0" applyBorder="1" applyAlignment="1">
      <alignment horizontal="center" vertical="center"/>
    </xf>
    <xf numFmtId="0" fontId="1" fillId="0" borderId="19" xfId="0" applyFont="1" applyBorder="1" applyAlignment="1">
      <alignment/>
    </xf>
    <xf numFmtId="0" fontId="1" fillId="0" borderId="20" xfId="0" applyFont="1" applyBorder="1" applyAlignment="1">
      <alignment/>
    </xf>
    <xf numFmtId="0" fontId="1" fillId="0" borderId="15" xfId="0" applyFont="1" applyBorder="1" applyAlignment="1">
      <alignment/>
    </xf>
    <xf numFmtId="0" fontId="1" fillId="0" borderId="0" xfId="0" applyFont="1" applyBorder="1" applyAlignment="1">
      <alignment/>
    </xf>
    <xf numFmtId="2" fontId="1" fillId="0" borderId="0" xfId="0" applyNumberFormat="1" applyFont="1" applyAlignment="1">
      <alignment/>
    </xf>
    <xf numFmtId="2" fontId="0" fillId="0" borderId="0" xfId="0" applyNumberFormat="1" applyAlignment="1">
      <alignment/>
    </xf>
    <xf numFmtId="0" fontId="7" fillId="0" borderId="0" xfId="0" applyFont="1" applyAlignment="1">
      <alignment wrapText="1"/>
    </xf>
    <xf numFmtId="0" fontId="0" fillId="0" borderId="0" xfId="0" applyAlignment="1">
      <alignment wrapText="1"/>
    </xf>
    <xf numFmtId="0" fontId="5" fillId="0" borderId="0" xfId="0" applyFont="1" applyAlignment="1">
      <alignment horizontal="center"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xf>
    <xf numFmtId="0" fontId="4" fillId="0" borderId="0" xfId="0" applyFont="1" applyAlignment="1">
      <alignment/>
    </xf>
    <xf numFmtId="0" fontId="4" fillId="0" borderId="0" xfId="0" applyFont="1" applyAlignment="1">
      <alignment horizontal="right" wrapText="1"/>
    </xf>
    <xf numFmtId="169" fontId="0" fillId="0" borderId="21" xfId="0" applyNumberFormat="1" applyBorder="1" applyAlignment="1">
      <alignment/>
    </xf>
    <xf numFmtId="169" fontId="1" fillId="0" borderId="21" xfId="0" applyNumberFormat="1" applyFont="1" applyBorder="1" applyAlignment="1">
      <alignment wrapText="1"/>
    </xf>
    <xf numFmtId="171" fontId="0" fillId="0" borderId="0" xfId="0" applyNumberFormat="1" applyAlignment="1">
      <alignment/>
    </xf>
    <xf numFmtId="0" fontId="9" fillId="0" borderId="0" xfId="0" applyFont="1" applyAlignment="1">
      <alignment wrapText="1"/>
    </xf>
    <xf numFmtId="2" fontId="0" fillId="0" borderId="21" xfId="0" applyNumberFormat="1" applyBorder="1" applyAlignment="1">
      <alignment/>
    </xf>
    <xf numFmtId="171" fontId="0" fillId="0" borderId="21" xfId="0" applyNumberFormat="1" applyBorder="1" applyAlignment="1">
      <alignment/>
    </xf>
    <xf numFmtId="0" fontId="11" fillId="0" borderId="0" xfId="0" applyFont="1" applyAlignment="1">
      <alignment wrapText="1"/>
    </xf>
    <xf numFmtId="0" fontId="5" fillId="0" borderId="0" xfId="0" applyFont="1" applyAlignment="1">
      <alignment wrapText="1"/>
    </xf>
    <xf numFmtId="169" fontId="0" fillId="0" borderId="0" xfId="0" applyNumberFormat="1" applyBorder="1" applyAlignment="1">
      <alignment/>
    </xf>
    <xf numFmtId="0" fontId="0" fillId="0" borderId="21" xfId="0" applyFill="1" applyBorder="1" applyAlignment="1">
      <alignment/>
    </xf>
    <xf numFmtId="0" fontId="41" fillId="0" borderId="0" xfId="0" applyFont="1" applyAlignment="1">
      <alignment/>
    </xf>
    <xf numFmtId="0" fontId="0" fillId="0" borderId="17" xfId="0" applyBorder="1" applyAlignment="1">
      <alignment/>
    </xf>
    <xf numFmtId="0" fontId="0" fillId="0" borderId="14" xfId="0" applyBorder="1" applyAlignment="1">
      <alignment/>
    </xf>
    <xf numFmtId="0" fontId="0" fillId="0" borderId="0" xfId="0" applyFill="1" applyBorder="1" applyAlignment="1">
      <alignment/>
    </xf>
    <xf numFmtId="0" fontId="41" fillId="33" borderId="0" xfId="0" applyFont="1" applyFill="1" applyAlignment="1">
      <alignment/>
    </xf>
    <xf numFmtId="0" fontId="0" fillId="33" borderId="17" xfId="0" applyFill="1" applyBorder="1" applyAlignment="1">
      <alignment/>
    </xf>
    <xf numFmtId="0" fontId="0" fillId="33" borderId="0" xfId="0" applyFill="1" applyBorder="1" applyAlignment="1">
      <alignment/>
    </xf>
    <xf numFmtId="0" fontId="0" fillId="33" borderId="18" xfId="0" applyFill="1" applyBorder="1" applyAlignment="1">
      <alignment/>
    </xf>
    <xf numFmtId="0" fontId="0" fillId="33" borderId="0" xfId="0" applyFill="1" applyAlignment="1">
      <alignment/>
    </xf>
    <xf numFmtId="0" fontId="4" fillId="0" borderId="21" xfId="0" applyFont="1" applyBorder="1" applyAlignment="1">
      <alignment/>
    </xf>
    <xf numFmtId="0" fontId="41" fillId="0" borderId="10" xfId="0" applyFont="1" applyBorder="1" applyAlignment="1">
      <alignment/>
    </xf>
    <xf numFmtId="0" fontId="41" fillId="0" borderId="19" xfId="0" applyFont="1" applyBorder="1" applyAlignment="1">
      <alignment/>
    </xf>
    <xf numFmtId="0" fontId="41" fillId="0" borderId="11" xfId="0" applyFont="1" applyBorder="1" applyAlignment="1">
      <alignment/>
    </xf>
    <xf numFmtId="0" fontId="43" fillId="0" borderId="22" xfId="0" applyFont="1" applyBorder="1" applyAlignment="1">
      <alignment wrapText="1"/>
    </xf>
    <xf numFmtId="0" fontId="0" fillId="0" borderId="20" xfId="0" applyBorder="1" applyAlignment="1">
      <alignment/>
    </xf>
    <xf numFmtId="169" fontId="0" fillId="0" borderId="18" xfId="0" applyNumberFormat="1" applyBorder="1" applyAlignment="1">
      <alignment/>
    </xf>
    <xf numFmtId="169" fontId="0" fillId="0" borderId="15" xfId="0" applyNumberFormat="1" applyBorder="1" applyAlignment="1">
      <alignment/>
    </xf>
    <xf numFmtId="0" fontId="0" fillId="0" borderId="21" xfId="0" applyFill="1" applyBorder="1" applyAlignment="1">
      <alignment/>
    </xf>
    <xf numFmtId="0" fontId="9" fillId="0" borderId="0" xfId="0" applyFont="1" applyAlignment="1">
      <alignment wrapText="1"/>
    </xf>
    <xf numFmtId="0" fontId="4" fillId="0" borderId="0" xfId="0" applyFont="1" applyFill="1" applyAlignment="1">
      <alignment wrapText="1"/>
    </xf>
    <xf numFmtId="2" fontId="0" fillId="0" borderId="21" xfId="0" applyNumberFormat="1" applyFill="1" applyBorder="1" applyAlignment="1">
      <alignment/>
    </xf>
    <xf numFmtId="2" fontId="0" fillId="0" borderId="0" xfId="0" applyNumberFormat="1" applyFont="1" applyBorder="1" applyAlignment="1">
      <alignment/>
    </xf>
    <xf numFmtId="2" fontId="0" fillId="0" borderId="15" xfId="0" applyNumberFormat="1" applyFont="1" applyBorder="1" applyAlignment="1">
      <alignment/>
    </xf>
    <xf numFmtId="0" fontId="4" fillId="0" borderId="10" xfId="0" applyFont="1" applyBorder="1" applyAlignment="1">
      <alignment wrapText="1"/>
    </xf>
    <xf numFmtId="0" fontId="4" fillId="0" borderId="19" xfId="0" applyFont="1" applyBorder="1" applyAlignment="1">
      <alignment wrapText="1"/>
    </xf>
    <xf numFmtId="0" fontId="9" fillId="0" borderId="19" xfId="0" applyFont="1" applyBorder="1" applyAlignment="1">
      <alignment wrapText="1"/>
    </xf>
    <xf numFmtId="0" fontId="7" fillId="0" borderId="19" xfId="0" applyFont="1" applyBorder="1" applyAlignment="1">
      <alignment wrapText="1"/>
    </xf>
    <xf numFmtId="0" fontId="7" fillId="0" borderId="11" xfId="0" applyFont="1" applyBorder="1" applyAlignment="1">
      <alignment wrapText="1"/>
    </xf>
    <xf numFmtId="0" fontId="1" fillId="0" borderId="0" xfId="0" applyFont="1" applyAlignment="1">
      <alignment wrapText="1"/>
    </xf>
    <xf numFmtId="0" fontId="1" fillId="0" borderId="0" xfId="0" applyFont="1" applyAlignment="1">
      <alignment/>
    </xf>
    <xf numFmtId="2" fontId="1" fillId="0" borderId="0" xfId="0" applyNumberFormat="1" applyFont="1" applyAlignment="1">
      <alignment wrapText="1"/>
    </xf>
    <xf numFmtId="0" fontId="4" fillId="0" borderId="23" xfId="0" applyFont="1" applyBorder="1" applyAlignment="1">
      <alignment/>
    </xf>
    <xf numFmtId="0" fontId="0" fillId="0" borderId="0" xfId="0" applyFont="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41" fillId="0" borderId="21" xfId="0" applyFont="1" applyBorder="1" applyAlignment="1">
      <alignment/>
    </xf>
    <xf numFmtId="0" fontId="0" fillId="0" borderId="23" xfId="0" applyBorder="1" applyAlignment="1">
      <alignment/>
    </xf>
    <xf numFmtId="0" fontId="0" fillId="33" borderId="23" xfId="0" applyFill="1" applyBorder="1" applyAlignment="1">
      <alignment/>
    </xf>
    <xf numFmtId="0" fontId="41" fillId="33" borderId="16" xfId="0" applyFont="1" applyFill="1" applyBorder="1" applyAlignment="1">
      <alignment/>
    </xf>
    <xf numFmtId="0" fontId="41" fillId="0" borderId="0" xfId="0" applyFont="1" applyFill="1" applyAlignment="1">
      <alignment/>
    </xf>
    <xf numFmtId="0" fontId="0" fillId="0" borderId="0" xfId="0" applyFill="1" applyAlignment="1">
      <alignment/>
    </xf>
    <xf numFmtId="0" fontId="0" fillId="0" borderId="23" xfId="0" applyFill="1" applyBorder="1" applyAlignment="1">
      <alignment/>
    </xf>
    <xf numFmtId="0" fontId="41" fillId="0" borderId="15" xfId="0" applyFont="1" applyFill="1" applyBorder="1" applyAlignment="1">
      <alignment/>
    </xf>
    <xf numFmtId="0" fontId="0" fillId="0" borderId="24" xfId="0" applyFill="1" applyBorder="1" applyAlignment="1">
      <alignment/>
    </xf>
    <xf numFmtId="0" fontId="0" fillId="0" borderId="15" xfId="0" applyFill="1" applyBorder="1" applyAlignment="1">
      <alignment/>
    </xf>
    <xf numFmtId="0" fontId="0" fillId="0" borderId="16" xfId="0" applyFill="1" applyBorder="1" applyAlignment="1">
      <alignment/>
    </xf>
    <xf numFmtId="169" fontId="0" fillId="0" borderId="16" xfId="0" applyNumberFormat="1" applyBorder="1" applyAlignment="1">
      <alignment/>
    </xf>
    <xf numFmtId="0" fontId="0" fillId="0" borderId="22" xfId="0" applyBorder="1" applyAlignment="1">
      <alignment/>
    </xf>
    <xf numFmtId="0" fontId="0" fillId="0" borderId="24" xfId="0" applyBorder="1" applyAlignment="1">
      <alignment/>
    </xf>
    <xf numFmtId="0" fontId="0" fillId="0" borderId="20" xfId="0" applyFill="1" applyBorder="1" applyAlignment="1">
      <alignment/>
    </xf>
    <xf numFmtId="0" fontId="44" fillId="0" borderId="11" xfId="0" applyFont="1" applyBorder="1" applyAlignment="1">
      <alignment wrapText="1"/>
    </xf>
    <xf numFmtId="0" fontId="7" fillId="0" borderId="19" xfId="0" applyFont="1" applyFill="1" applyBorder="1" applyAlignment="1">
      <alignment wrapText="1"/>
    </xf>
    <xf numFmtId="0" fontId="4" fillId="0" borderId="0" xfId="0" applyFont="1" applyAlignment="1">
      <alignment horizontal="left" wrapText="1"/>
    </xf>
    <xf numFmtId="0" fontId="0" fillId="0" borderId="0" xfId="0" applyBorder="1" applyAlignment="1">
      <alignment wrapText="1"/>
    </xf>
    <xf numFmtId="0" fontId="0" fillId="34" borderId="21" xfId="0" applyFill="1" applyBorder="1" applyAlignment="1" applyProtection="1">
      <alignment/>
      <protection locked="0"/>
    </xf>
    <xf numFmtId="0" fontId="0" fillId="34" borderId="23" xfId="0" applyFill="1" applyBorder="1" applyAlignment="1" applyProtection="1">
      <alignment/>
      <protection locked="0"/>
    </xf>
    <xf numFmtId="0" fontId="0" fillId="35" borderId="21" xfId="0" applyFill="1" applyBorder="1" applyAlignment="1" applyProtection="1">
      <alignment/>
      <protection locked="0"/>
    </xf>
    <xf numFmtId="0" fontId="0" fillId="34" borderId="0" xfId="0" applyFill="1" applyAlignment="1" applyProtection="1">
      <alignment/>
      <protection locked="0"/>
    </xf>
    <xf numFmtId="0" fontId="0" fillId="34" borderId="19" xfId="0" applyFill="1" applyBorder="1" applyAlignment="1" applyProtection="1">
      <alignment/>
      <protection locked="0"/>
    </xf>
    <xf numFmtId="0" fontId="0" fillId="34" borderId="20" xfId="0" applyFill="1" applyBorder="1" applyAlignment="1" applyProtection="1">
      <alignment/>
      <protection locked="0"/>
    </xf>
    <xf numFmtId="0" fontId="0" fillId="34" borderId="15" xfId="0" applyFill="1" applyBorder="1" applyAlignment="1" applyProtection="1">
      <alignment/>
      <protection locked="0"/>
    </xf>
    <xf numFmtId="0" fontId="0" fillId="34" borderId="0" xfId="0" applyFill="1" applyBorder="1" applyAlignment="1" applyProtection="1">
      <alignment/>
      <protection locked="0"/>
    </xf>
    <xf numFmtId="0" fontId="0" fillId="35" borderId="0" xfId="0" applyFill="1" applyAlignment="1" applyProtection="1">
      <alignment/>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5" fillId="0" borderId="0" xfId="0" applyFont="1" applyAlignment="1">
      <alignment horizontal="center" wrapText="1"/>
    </xf>
    <xf numFmtId="0" fontId="0" fillId="0" borderId="17" xfId="0" applyBorder="1" applyAlignment="1">
      <alignment horizontal="center" wrapText="1"/>
    </xf>
    <xf numFmtId="0" fontId="0" fillId="0" borderId="0"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B26" sqref="B26"/>
    </sheetView>
  </sheetViews>
  <sheetFormatPr defaultColWidth="9.140625" defaultRowHeight="15"/>
  <cols>
    <col min="1" max="1" width="16.57421875" style="0" customWidth="1"/>
    <col min="2" max="2" width="9.7109375" style="0" customWidth="1"/>
    <col min="3" max="4" width="11.7109375" style="0" customWidth="1"/>
  </cols>
  <sheetData>
    <row r="1" spans="1:2" s="2" customFormat="1" ht="30">
      <c r="A1" s="2" t="s">
        <v>28</v>
      </c>
      <c r="B1" s="2" t="s">
        <v>20</v>
      </c>
    </row>
    <row r="2" spans="1:2" ht="15">
      <c r="A2" s="99">
        <v>65</v>
      </c>
      <c r="B2" s="99">
        <v>125</v>
      </c>
    </row>
    <row r="3" spans="1:6" ht="44.25" customHeight="1">
      <c r="A3" s="113" t="s">
        <v>182</v>
      </c>
      <c r="B3" s="113"/>
      <c r="C3" s="113"/>
      <c r="D3" s="113"/>
      <c r="E3" s="38"/>
      <c r="F3" s="38"/>
    </row>
    <row r="4" spans="1:4" ht="15">
      <c r="A4" s="25"/>
      <c r="B4" s="25"/>
      <c r="C4" s="25"/>
      <c r="D4" s="25"/>
    </row>
    <row r="5" spans="1:4" s="2" customFormat="1" ht="45">
      <c r="A5" s="2" t="s">
        <v>7</v>
      </c>
      <c r="B5" s="2" t="s">
        <v>18</v>
      </c>
      <c r="C5" s="26" t="s">
        <v>17</v>
      </c>
      <c r="D5" s="2" t="s">
        <v>26</v>
      </c>
    </row>
    <row r="6" spans="1:6" ht="15">
      <c r="A6" s="4" t="s">
        <v>49</v>
      </c>
      <c r="B6" s="100">
        <v>11</v>
      </c>
      <c r="C6" s="17" t="s">
        <v>22</v>
      </c>
      <c r="D6" s="5">
        <f>IF(B2&gt;0,SQRT(('Anthropometric Data'!E17)^2+(0.65*B2*SUM('Anthropometric Data'!F17:F18))^2),0)</f>
        <v>11.00015255511653</v>
      </c>
      <c r="E6" s="111" t="s">
        <v>25</v>
      </c>
      <c r="F6" s="112"/>
    </row>
    <row r="7" spans="1:6" ht="15">
      <c r="A7" s="6" t="s">
        <v>21</v>
      </c>
      <c r="B7" s="101">
        <v>19</v>
      </c>
      <c r="C7" s="18">
        <f>('Anthropometric Data'!D33/'Anthropometric Data'!E28)*A23</f>
        <v>2.157965616123514</v>
      </c>
      <c r="D7" s="7">
        <f>B7*C7</f>
        <v>41.001346706346766</v>
      </c>
      <c r="E7" s="105" t="s">
        <v>21</v>
      </c>
      <c r="F7" s="106"/>
    </row>
    <row r="8" spans="1:6" ht="15">
      <c r="A8" s="8" t="s">
        <v>10</v>
      </c>
      <c r="B8" s="102">
        <v>7</v>
      </c>
      <c r="C8" s="19">
        <f>('Anthropometric Data'!D35/'Anthropometric Data'!E28)*A23</f>
        <v>2.016483218544455</v>
      </c>
      <c r="D8" s="10">
        <f>B8*C8</f>
        <v>14.115382529811185</v>
      </c>
      <c r="E8" s="109"/>
      <c r="F8" s="110"/>
    </row>
    <row r="9" spans="1:6" ht="15">
      <c r="A9" s="6" t="s">
        <v>9</v>
      </c>
      <c r="B9" s="101">
        <v>16</v>
      </c>
      <c r="C9" s="18">
        <f>('Anthropometric Data'!D36/'Anthropometric Data'!E28)*A23</f>
        <v>2.071071011357248</v>
      </c>
      <c r="D9" s="7">
        <f>B9*C9</f>
        <v>33.13713618171597</v>
      </c>
      <c r="E9" s="105" t="s">
        <v>23</v>
      </c>
      <c r="F9" s="106"/>
    </row>
    <row r="10" spans="1:6" ht="15">
      <c r="A10" s="11" t="s">
        <v>8</v>
      </c>
      <c r="B10" s="103">
        <v>9</v>
      </c>
      <c r="C10" s="20">
        <f>('Anthropometric Data'!D37/'Anthropometric Data'!E28)*A23</f>
        <v>0.7915365931030254</v>
      </c>
      <c r="D10" s="12">
        <f>B10*C10</f>
        <v>7.123829337927228</v>
      </c>
      <c r="E10" s="107"/>
      <c r="F10" s="108"/>
    </row>
    <row r="11" spans="1:6" ht="15">
      <c r="A11" s="11" t="s">
        <v>29</v>
      </c>
      <c r="B11" s="103">
        <v>3</v>
      </c>
      <c r="C11" s="20" t="s">
        <v>22</v>
      </c>
      <c r="D11" s="20" t="s">
        <v>22</v>
      </c>
      <c r="E11" s="107"/>
      <c r="F11" s="108"/>
    </row>
    <row r="12" spans="1:6" ht="15">
      <c r="A12" s="8" t="s">
        <v>16</v>
      </c>
      <c r="B12" s="102">
        <v>8</v>
      </c>
      <c r="C12" s="19">
        <f>('Anthropometric Data'!D42/'Anthropometric Data'!E28)*A23</f>
        <v>0.20258251492476176</v>
      </c>
      <c r="D12" s="10">
        <f>B12*C12</f>
        <v>1.620660119398094</v>
      </c>
      <c r="E12" s="109"/>
      <c r="F12" s="110"/>
    </row>
    <row r="13" spans="1:6" ht="15">
      <c r="A13" s="6" t="s">
        <v>13</v>
      </c>
      <c r="B13" s="101">
        <v>9</v>
      </c>
      <c r="C13" s="18">
        <f>('Anthropometric Data'!D38/'Anthropometric Data'!E28)*A23</f>
        <v>0.5458078107874186</v>
      </c>
      <c r="D13" s="7">
        <f>B13*C13</f>
        <v>4.912270297086767</v>
      </c>
      <c r="E13" s="105" t="s">
        <v>24</v>
      </c>
      <c r="F13" s="106"/>
    </row>
    <row r="14" spans="1:6" ht="15">
      <c r="A14" s="11" t="s">
        <v>14</v>
      </c>
      <c r="B14" s="103">
        <v>8</v>
      </c>
      <c r="C14" s="20">
        <f>('Anthropometric Data'!D39/'Anthropometric Data'!E28)*A23</f>
        <v>0.4168110072114873</v>
      </c>
      <c r="D14" s="12">
        <f>B14*C14</f>
        <v>3.3344880576918983</v>
      </c>
      <c r="E14" s="107"/>
      <c r="F14" s="108"/>
    </row>
    <row r="15" spans="1:6" ht="15">
      <c r="A15" s="8" t="s">
        <v>15</v>
      </c>
      <c r="B15" s="102">
        <v>6</v>
      </c>
      <c r="C15" s="19">
        <f>('Anthropometric Data'!D40/'Anthropometric Data'!E28)*A23</f>
        <v>0.19718876715653974</v>
      </c>
      <c r="D15" s="10">
        <f>B15*C15</f>
        <v>1.1831326029392384</v>
      </c>
      <c r="E15" s="109"/>
      <c r="F15" s="110"/>
    </row>
    <row r="16" spans="1:6" ht="15">
      <c r="A16" s="8" t="s">
        <v>181</v>
      </c>
      <c r="B16" s="9">
        <f>SUM(B7:B11)</f>
        <v>54</v>
      </c>
      <c r="C16" s="15"/>
      <c r="D16" s="10"/>
      <c r="E16" s="16"/>
      <c r="F16" s="16"/>
    </row>
    <row r="17" spans="1:6" ht="15">
      <c r="A17" s="8" t="s">
        <v>61</v>
      </c>
      <c r="B17" s="9">
        <f>SUM(B7:B11)+SUM(B13:B14)</f>
        <v>71</v>
      </c>
      <c r="C17" s="15"/>
      <c r="D17" s="10"/>
      <c r="E17" s="16"/>
      <c r="F17" s="16"/>
    </row>
    <row r="18" spans="4:5" ht="15">
      <c r="D18" s="14">
        <f>SUM(D6:D15)</f>
        <v>117.42839838803368</v>
      </c>
      <c r="E18" s="28" t="s">
        <v>80</v>
      </c>
    </row>
    <row r="19" spans="2:5" s="2" customFormat="1" ht="30">
      <c r="B19" s="2" t="s">
        <v>27</v>
      </c>
      <c r="C19" s="13"/>
      <c r="D19" s="27">
        <f>SUM(D7:D15)</f>
        <v>106.42824583291716</v>
      </c>
      <c r="E19" s="29" t="s">
        <v>81</v>
      </c>
    </row>
    <row r="20" spans="2:3" ht="15">
      <c r="B20">
        <f>SUM(B6:B11)</f>
        <v>65</v>
      </c>
      <c r="C20" s="1"/>
    </row>
    <row r="22" ht="15">
      <c r="A22" t="s">
        <v>183</v>
      </c>
    </row>
    <row r="23" ht="15">
      <c r="A23">
        <f>B2-D6</f>
        <v>113.99984744488347</v>
      </c>
    </row>
    <row r="24" ht="15" customHeight="1"/>
    <row r="25" spans="1:2" ht="45">
      <c r="A25" s="24" t="s">
        <v>184</v>
      </c>
      <c r="B25" s="104">
        <v>17.7</v>
      </c>
    </row>
  </sheetData>
  <sheetProtection sheet="1"/>
  <mergeCells count="5">
    <mergeCell ref="E13:F15"/>
    <mergeCell ref="E6:F6"/>
    <mergeCell ref="E7:F8"/>
    <mergeCell ref="E9:F12"/>
    <mergeCell ref="A3:D3"/>
  </mergeCells>
  <dataValidations count="2">
    <dataValidation type="list" allowBlank="1" showInputMessage="1" showErrorMessage="1" sqref="C6">
      <formula1>"N/A"</formula1>
    </dataValidation>
    <dataValidation type="list" allowBlank="1" showDropDown="1" showInputMessage="1" showErrorMessage="1" sqref="C11:D11">
      <formula1>"N/A"</formula1>
    </dataValidation>
  </dataValidations>
  <printOptions/>
  <pageMargins left="0.7" right="0.7" top="0.75" bottom="0.75" header="0.3" footer="0.3"/>
  <pageSetup horizontalDpi="600" verticalDpi="600" orientation="portrait" r:id="rId3"/>
  <ignoredErrors>
    <ignoredError sqref="B16 B20" formulaRange="1"/>
  </ignoredErrors>
  <legacyDrawing r:id="rId2"/>
</worksheet>
</file>

<file path=xl/worksheets/sheet2.xml><?xml version="1.0" encoding="utf-8"?>
<worksheet xmlns="http://schemas.openxmlformats.org/spreadsheetml/2006/main" xmlns:r="http://schemas.openxmlformats.org/officeDocument/2006/relationships">
  <dimension ref="A2:K105"/>
  <sheetViews>
    <sheetView zoomScalePageLayoutView="0" workbookViewId="0" topLeftCell="A45">
      <selection activeCell="B49" sqref="B49"/>
    </sheetView>
  </sheetViews>
  <sheetFormatPr defaultColWidth="9.140625" defaultRowHeight="15"/>
  <cols>
    <col min="1" max="1" width="55.57421875" style="0" customWidth="1"/>
    <col min="2" max="10" width="10.57421875" style="0" customWidth="1"/>
  </cols>
  <sheetData>
    <row r="1" ht="15" hidden="1"/>
    <row r="2" ht="15" hidden="1">
      <c r="A2" t="str">
        <f aca="true" t="shared" si="0" ref="A2:A44">MovementList</f>
        <v>Empty</v>
      </c>
    </row>
    <row r="3" ht="15" hidden="1">
      <c r="A3" t="str">
        <f t="shared" si="0"/>
        <v>Back Extension</v>
      </c>
    </row>
    <row r="4" ht="15" hidden="1">
      <c r="A4" t="str">
        <f t="shared" si="0"/>
        <v>Bench Press</v>
      </c>
    </row>
    <row r="5" ht="15" hidden="1">
      <c r="A5" t="str">
        <f t="shared" si="0"/>
        <v>Box Jump</v>
      </c>
    </row>
    <row r="6" ht="15" hidden="1">
      <c r="A6" t="str">
        <f t="shared" si="0"/>
        <v>Burpee</v>
      </c>
    </row>
    <row r="7" ht="15" hidden="1">
      <c r="A7" t="str">
        <f t="shared" si="0"/>
        <v>Clean &amp; Jerk (Power Clean)</v>
      </c>
    </row>
    <row r="8" ht="15" hidden="1">
      <c r="A8" t="str">
        <f t="shared" si="0"/>
        <v>Deadlift</v>
      </c>
    </row>
    <row r="9" ht="15" hidden="1">
      <c r="A9" t="str">
        <f t="shared" si="0"/>
        <v>Dip</v>
      </c>
    </row>
    <row r="10" ht="15" hidden="1">
      <c r="A10" t="str">
        <f t="shared" si="0"/>
        <v>Double Under</v>
      </c>
    </row>
    <row r="11" ht="15" hidden="1">
      <c r="A11" t="str">
        <f t="shared" si="0"/>
        <v>Empty</v>
      </c>
    </row>
    <row r="12" ht="15" hidden="1">
      <c r="A12" t="str">
        <f t="shared" si="0"/>
        <v>Front Squat</v>
      </c>
    </row>
    <row r="13" ht="15" hidden="1">
      <c r="A13" t="str">
        <f t="shared" si="0"/>
        <v>GHD Situp</v>
      </c>
    </row>
    <row r="14" ht="15" hidden="1">
      <c r="A14" t="str">
        <f t="shared" si="0"/>
        <v>Handstand Pushup</v>
      </c>
    </row>
    <row r="15" ht="15" hidden="1">
      <c r="A15" t="str">
        <f t="shared" si="0"/>
        <v>Hang Power Clean</v>
      </c>
    </row>
    <row r="16" ht="15" hidden="1">
      <c r="A16" t="str">
        <f t="shared" si="0"/>
        <v>Hang Power Snatch</v>
      </c>
    </row>
    <row r="17" ht="15" hidden="1">
      <c r="A17" t="str">
        <f t="shared" si="0"/>
        <v>Hang Squat Clean</v>
      </c>
    </row>
    <row r="18" ht="15" hidden="1">
      <c r="A18" t="str">
        <f t="shared" si="0"/>
        <v>Hang Squat Snatch</v>
      </c>
    </row>
    <row r="19" ht="15" hidden="1">
      <c r="A19" t="str">
        <f t="shared" si="0"/>
        <v>Hip &amp; Back Extension</v>
      </c>
    </row>
    <row r="20" ht="15" hidden="1">
      <c r="A20" t="str">
        <f t="shared" si="0"/>
        <v>Hip Extension</v>
      </c>
    </row>
    <row r="21" ht="15" hidden="1">
      <c r="A21" t="str">
        <f t="shared" si="0"/>
        <v>Kettlebell Swing</v>
      </c>
    </row>
    <row r="22" ht="15" hidden="1">
      <c r="A22" t="str">
        <f t="shared" si="0"/>
        <v>Knees to Elbows</v>
      </c>
    </row>
    <row r="23" ht="15" hidden="1">
      <c r="A23" t="str">
        <f t="shared" si="0"/>
        <v>L-Pullup</v>
      </c>
    </row>
    <row r="24" ht="15" hidden="1">
      <c r="A24" t="str">
        <f t="shared" si="0"/>
        <v>Medicine Ball Clean</v>
      </c>
    </row>
    <row r="25" ht="15" hidden="1">
      <c r="A25" t="str">
        <f t="shared" si="0"/>
        <v>Muscle up</v>
      </c>
    </row>
    <row r="26" ht="15" hidden="1">
      <c r="A26" t="str">
        <f t="shared" si="0"/>
        <v>OHS</v>
      </c>
    </row>
    <row r="27" ht="15" hidden="1">
      <c r="A27" t="str">
        <f t="shared" si="0"/>
        <v>Pistol</v>
      </c>
    </row>
    <row r="28" ht="15" hidden="1">
      <c r="A28" t="str">
        <f t="shared" si="0"/>
        <v>Power Clean</v>
      </c>
    </row>
    <row r="29" ht="15" hidden="1">
      <c r="A29" t="str">
        <f t="shared" si="0"/>
        <v>Power Snatch</v>
      </c>
    </row>
    <row r="30" ht="15" hidden="1">
      <c r="A30" t="str">
        <f t="shared" si="0"/>
        <v>Press</v>
      </c>
    </row>
    <row r="31" ht="15" hidden="1">
      <c r="A31" t="str">
        <f t="shared" si="0"/>
        <v>Pullup</v>
      </c>
    </row>
    <row r="32" ht="15" hidden="1">
      <c r="A32" t="str">
        <f t="shared" si="0"/>
        <v>Push Press</v>
      </c>
    </row>
    <row r="33" ht="15" hidden="1">
      <c r="A33" t="str">
        <f t="shared" si="0"/>
        <v>Push Jerk</v>
      </c>
    </row>
    <row r="34" ht="15" hidden="1">
      <c r="A34" t="str">
        <f t="shared" si="0"/>
        <v>Pushup</v>
      </c>
    </row>
    <row r="35" ht="15" hidden="1">
      <c r="A35" t="str">
        <f t="shared" si="0"/>
        <v>Ring Dip</v>
      </c>
    </row>
    <row r="36" ht="15" hidden="1">
      <c r="A36" t="str">
        <f t="shared" si="0"/>
        <v>Rope Climb</v>
      </c>
    </row>
    <row r="37" ht="15" hidden="1">
      <c r="A37" t="str">
        <f t="shared" si="0"/>
        <v>Row (Very rough estimate)</v>
      </c>
    </row>
    <row r="38" ht="15" hidden="1">
      <c r="A38" t="str">
        <f t="shared" si="0"/>
        <v>Run (Very rough estimate)</v>
      </c>
    </row>
    <row r="39" ht="15" hidden="1">
      <c r="A39" t="str">
        <f t="shared" si="0"/>
        <v>Situp</v>
      </c>
    </row>
    <row r="40" ht="15" hidden="1">
      <c r="A40" t="str">
        <f t="shared" si="0"/>
        <v>Squat</v>
      </c>
    </row>
    <row r="41" ht="15" hidden="1">
      <c r="A41" t="str">
        <f t="shared" si="0"/>
        <v>Squat Clean</v>
      </c>
    </row>
    <row r="42" ht="15" hidden="1">
      <c r="A42" t="str">
        <f t="shared" si="0"/>
        <v>Squat Clean &amp; Jerk</v>
      </c>
    </row>
    <row r="43" ht="15" hidden="1">
      <c r="A43" t="str">
        <f t="shared" si="0"/>
        <v>Squat Snatch</v>
      </c>
    </row>
    <row r="44" ht="15" hidden="1">
      <c r="A44" t="str">
        <f t="shared" si="0"/>
        <v>Sumo Deadlift High Pull</v>
      </c>
    </row>
    <row r="45" spans="1:9" ht="15" customHeight="1">
      <c r="A45" s="115" t="s">
        <v>166</v>
      </c>
      <c r="B45" s="115"/>
      <c r="C45" s="115"/>
      <c r="D45" s="115"/>
      <c r="E45" s="95"/>
      <c r="F45" s="95"/>
      <c r="G45" s="95"/>
      <c r="H45" s="95"/>
      <c r="I45" s="95"/>
    </row>
    <row r="46" spans="1:9" ht="15">
      <c r="A46" s="115"/>
      <c r="B46" s="115"/>
      <c r="C46" s="115"/>
      <c r="D46" s="115"/>
      <c r="E46" s="95"/>
      <c r="F46" s="95"/>
      <c r="G46" s="95"/>
      <c r="H46" s="95"/>
      <c r="I46" s="95"/>
    </row>
    <row r="47" spans="1:9" s="26" customFormat="1" ht="90">
      <c r="A47" s="26" t="s">
        <v>0</v>
      </c>
      <c r="B47" s="26" t="s">
        <v>109</v>
      </c>
      <c r="C47" s="26" t="s">
        <v>108</v>
      </c>
      <c r="D47" s="34" t="s">
        <v>120</v>
      </c>
      <c r="E47" s="59" t="s">
        <v>164</v>
      </c>
      <c r="F47" s="59" t="s">
        <v>163</v>
      </c>
      <c r="G47" s="26" t="s">
        <v>68</v>
      </c>
      <c r="H47" s="26" t="s">
        <v>69</v>
      </c>
      <c r="I47" s="26" t="s">
        <v>110</v>
      </c>
    </row>
    <row r="48" spans="1:9" ht="15">
      <c r="A48" s="96" t="s">
        <v>156</v>
      </c>
      <c r="B48" s="96"/>
      <c r="C48" s="96"/>
      <c r="D48" s="96"/>
      <c r="E48" s="96"/>
      <c r="F48" s="61">
        <f>IF(E48&gt;0,E48-(Anthropometry!B16/12)+Movements!F40,)</f>
        <v>0</v>
      </c>
      <c r="G48" s="31">
        <f>VLOOKUP(A48,Movements!A3:G47,7,TRUE)*B48+((VLOOKUP(A48,Movements!A3:G47,2,TRUE)+VLOOKUP(A48,Movements!A3:G47,3,TRUE))*D48*B48)</f>
        <v>0</v>
      </c>
      <c r="H48" s="31">
        <f>VLOOKUP(A48,Movements!A3:G47,6,TRUE)*B48*C48+(B48*C48*F48)</f>
        <v>0</v>
      </c>
      <c r="I48" s="31">
        <f aca="true" t="shared" si="1" ref="I48:I60">G48+H48</f>
        <v>0</v>
      </c>
    </row>
    <row r="49" spans="1:9" ht="15">
      <c r="A49" s="96" t="s">
        <v>156</v>
      </c>
      <c r="B49" s="96"/>
      <c r="C49" s="96"/>
      <c r="D49" s="96"/>
      <c r="E49" s="96"/>
      <c r="F49" s="61">
        <f>IF(E49&gt;0,E49-(Anthropometry!B16/12)+Movements!F40,)</f>
        <v>0</v>
      </c>
      <c r="G49" s="31">
        <f>VLOOKUP(A49,Movements!A3:G47,7,TRUE)*B49+((VLOOKUP(A49,Movements!A3:G47,2,TRUE)+VLOOKUP(A49,Movements!A3:G47,3,TRUE))*D49*B49)</f>
        <v>0</v>
      </c>
      <c r="H49" s="31">
        <f>VLOOKUP(A49,Movements!A3:G47,6,TRUE)*B49*C49+(B49*C49*F49)</f>
        <v>0</v>
      </c>
      <c r="I49" s="31">
        <f t="shared" si="1"/>
        <v>0</v>
      </c>
    </row>
    <row r="50" spans="1:9" ht="15">
      <c r="A50" s="96" t="s">
        <v>156</v>
      </c>
      <c r="B50" s="96"/>
      <c r="C50" s="96"/>
      <c r="D50" s="96"/>
      <c r="E50" s="96"/>
      <c r="F50" s="61">
        <f>IF(E50&gt;0,E50-(Anthropometry!B16/12)+Movements!F40,)</f>
        <v>0</v>
      </c>
      <c r="G50" s="31">
        <f>VLOOKUP(A50,Movements!A3:G47,7,TRUE)*B50+((VLOOKUP(A50,Movements!A3:G47,2,TRUE)+VLOOKUP(A50,Movements!A3:G47,3,TRUE))*D50*B50)</f>
        <v>0</v>
      </c>
      <c r="H50" s="31">
        <f>VLOOKUP(A50,Movements!A3:G47,6,TRUE)*B50*C50+(B50*C50*F50)</f>
        <v>0</v>
      </c>
      <c r="I50" s="31">
        <f t="shared" si="1"/>
        <v>0</v>
      </c>
    </row>
    <row r="51" spans="1:9" ht="15">
      <c r="A51" s="96" t="s">
        <v>156</v>
      </c>
      <c r="B51" s="96"/>
      <c r="C51" s="96"/>
      <c r="D51" s="96"/>
      <c r="E51" s="96"/>
      <c r="F51" s="61">
        <f>IF(E51&gt;0,E51-(Anthropometry!B16/12)+Movements!F40,)</f>
        <v>0</v>
      </c>
      <c r="G51" s="31">
        <f>VLOOKUP(A51,Movements!A3:G47,7,TRUE)*B51+((VLOOKUP(A51,Movements!A3:G47,2,TRUE)+VLOOKUP(A51,Movements!A3:G47,3,TRUE))*D51*B51)</f>
        <v>0</v>
      </c>
      <c r="H51" s="31">
        <f>VLOOKUP(A51,Movements!A3:G47,6,TRUE)*B51*C51+(B51*C51*F51)</f>
        <v>0</v>
      </c>
      <c r="I51" s="31">
        <f t="shared" si="1"/>
        <v>0</v>
      </c>
    </row>
    <row r="52" spans="1:9" ht="15">
      <c r="A52" s="96" t="s">
        <v>156</v>
      </c>
      <c r="B52" s="96"/>
      <c r="C52" s="96"/>
      <c r="D52" s="96"/>
      <c r="E52" s="96"/>
      <c r="F52" s="61">
        <f>IF(E52&gt;0,E52-(Anthropometry!B16/12)+Movements!F40,)</f>
        <v>0</v>
      </c>
      <c r="G52" s="31">
        <f>VLOOKUP(A52,Movements!A3:G47,7,TRUE)*B52+((VLOOKUP(A52,Movements!A3:G47,2,TRUE)+VLOOKUP(A52,Movements!A3:G47,3,TRUE))*D52*B52)</f>
        <v>0</v>
      </c>
      <c r="H52" s="31">
        <f>VLOOKUP(A52,Movements!A3:G47,6,TRUE)*B52*C52+(B52*C52*F52)</f>
        <v>0</v>
      </c>
      <c r="I52" s="31">
        <f t="shared" si="1"/>
        <v>0</v>
      </c>
    </row>
    <row r="53" spans="1:9" ht="15">
      <c r="A53" s="96" t="s">
        <v>156</v>
      </c>
      <c r="B53" s="96"/>
      <c r="C53" s="96"/>
      <c r="D53" s="96"/>
      <c r="E53" s="96"/>
      <c r="F53" s="61">
        <f>IF(E53&gt;0,E53-(Anthropometry!B16/12)+Movements!F40,)</f>
        <v>0</v>
      </c>
      <c r="G53" s="31">
        <f>VLOOKUP(A53,Movements!A3:G47,7,TRUE)*B53+((VLOOKUP(A53,Movements!A3:G47,2,TRUE)+VLOOKUP(A53,Movements!A3:G47,3,TRUE))*D53*B53)</f>
        <v>0</v>
      </c>
      <c r="H53" s="31">
        <f>VLOOKUP(A53,Movements!A3:G47,6,TRUE)*B53*C53+(B53*C53*F53)</f>
        <v>0</v>
      </c>
      <c r="I53" s="31">
        <f t="shared" si="1"/>
        <v>0</v>
      </c>
    </row>
    <row r="54" spans="1:9" ht="15">
      <c r="A54" s="96" t="s">
        <v>156</v>
      </c>
      <c r="B54" s="96"/>
      <c r="C54" s="96"/>
      <c r="D54" s="96"/>
      <c r="E54" s="96"/>
      <c r="F54" s="61">
        <f>IF(E54&gt;0,E54-(Anthropometry!B16/12)+Movements!F40,)</f>
        <v>0</v>
      </c>
      <c r="G54" s="31">
        <f>VLOOKUP(A54,Movements!A3:G47,7,TRUE)*B54+((VLOOKUP(A54,Movements!A3:G47,2,TRUE)+VLOOKUP(A54,Movements!A3:G47,3,TRUE))*D54*B54)</f>
        <v>0</v>
      </c>
      <c r="H54" s="31">
        <f>VLOOKUP(A54,Movements!A3:G47,6,TRUE)*B54*C54+(B54*C54*F54)</f>
        <v>0</v>
      </c>
      <c r="I54" s="31">
        <f t="shared" si="1"/>
        <v>0</v>
      </c>
    </row>
    <row r="55" spans="1:9" ht="15">
      <c r="A55" s="96" t="s">
        <v>156</v>
      </c>
      <c r="B55" s="96"/>
      <c r="C55" s="96"/>
      <c r="D55" s="96"/>
      <c r="E55" s="96"/>
      <c r="F55" s="61">
        <f>IF(E55&gt;0,E55-(Anthropometry!B16/12)+Movements!F40,)</f>
        <v>0</v>
      </c>
      <c r="G55" s="31">
        <f>VLOOKUP(A55,Movements!A3:G47,7,TRUE)*B55+((VLOOKUP(A55,Movements!A3:G47,2,TRUE)+VLOOKUP(A55,Movements!A3:G47,3,TRUE))*D55*B55)</f>
        <v>0</v>
      </c>
      <c r="H55" s="31">
        <f>VLOOKUP(A55,Movements!A3:G47,6,TRUE)*B55*C55+(B55*C55*F55)</f>
        <v>0</v>
      </c>
      <c r="I55" s="31">
        <f t="shared" si="1"/>
        <v>0</v>
      </c>
    </row>
    <row r="56" spans="1:9" ht="15">
      <c r="A56" s="96" t="s">
        <v>156</v>
      </c>
      <c r="B56" s="96"/>
      <c r="C56" s="96"/>
      <c r="D56" s="96"/>
      <c r="E56" s="96"/>
      <c r="F56" s="61">
        <f>IF(E56&gt;0,E56-(Anthropometry!B16/12)+Movements!F40,)</f>
        <v>0</v>
      </c>
      <c r="G56" s="31">
        <f>VLOOKUP(A56,Movements!A3:G47,7,TRUE)*B56+((VLOOKUP(A56,Movements!A3:G47,2,TRUE)+VLOOKUP(A56,Movements!A3:G47,3,TRUE))*D56*B56)</f>
        <v>0</v>
      </c>
      <c r="H56" s="31">
        <f>VLOOKUP(A56,Movements!A3:G47,6,TRUE)*B56*C56+(B56*C56*F56)</f>
        <v>0</v>
      </c>
      <c r="I56" s="31">
        <f t="shared" si="1"/>
        <v>0</v>
      </c>
    </row>
    <row r="57" spans="1:9" ht="15">
      <c r="A57" s="96" t="s">
        <v>156</v>
      </c>
      <c r="B57" s="96"/>
      <c r="C57" s="96"/>
      <c r="D57" s="96"/>
      <c r="E57" s="96"/>
      <c r="F57" s="61">
        <f>IF(E57&gt;0,E57-(Anthropometry!B16/12)+Movements!F40,)</f>
        <v>0</v>
      </c>
      <c r="G57" s="31">
        <f>VLOOKUP(A57,Movements!A3:G47,7,TRUE)*B57+((VLOOKUP(A57,Movements!A3:G47,2,TRUE)+VLOOKUP(A57,Movements!A3:G47,3,TRUE))*D57*B57)</f>
        <v>0</v>
      </c>
      <c r="H57" s="31">
        <f>VLOOKUP(A57,Movements!A3:G47,6,TRUE)*B57*C57+(B57*C57*F57)</f>
        <v>0</v>
      </c>
      <c r="I57" s="31">
        <f t="shared" si="1"/>
        <v>0</v>
      </c>
    </row>
    <row r="58" spans="1:9" ht="15">
      <c r="A58" s="96" t="s">
        <v>156</v>
      </c>
      <c r="B58" s="96"/>
      <c r="C58" s="96"/>
      <c r="D58" s="96"/>
      <c r="E58" s="96"/>
      <c r="F58" s="61">
        <f>IF(E58&gt;0,E58-(Anthropometry!B16/12)+Movements!F40,)</f>
        <v>0</v>
      </c>
      <c r="G58" s="31">
        <f>VLOOKUP(A58,Movements!A3:G47,7,TRUE)*B58+((VLOOKUP(A58,Movements!A3:G47,2,TRUE)+VLOOKUP(A58,Movements!A3:G47,3,TRUE))*D58*B58)</f>
        <v>0</v>
      </c>
      <c r="H58" s="31">
        <f>VLOOKUP(A58,Movements!A3:G47,6,TRUE)*B58*C58+(B58*C58*F58)</f>
        <v>0</v>
      </c>
      <c r="I58" s="31">
        <f t="shared" si="1"/>
        <v>0</v>
      </c>
    </row>
    <row r="59" spans="1:11" ht="15">
      <c r="A59" s="96" t="s">
        <v>156</v>
      </c>
      <c r="B59" s="96"/>
      <c r="C59" s="96"/>
      <c r="D59" s="96"/>
      <c r="E59" s="96"/>
      <c r="F59" s="61">
        <f>IF(E59&gt;0,E59-(Anthropometry!B16/12)+Movements!F40,)</f>
        <v>0</v>
      </c>
      <c r="G59" s="31">
        <f>VLOOKUP(A59,Movements!A3:G47,7,TRUE)*B59+((VLOOKUP(A59,Movements!A3:G47,2,TRUE)+VLOOKUP(A59,Movements!A3:G47,3,TRUE))*D59*B59)</f>
        <v>0</v>
      </c>
      <c r="H59" s="31">
        <f>VLOOKUP(A59,Movements!A3:G47,6,TRUE)*B59*C59+(B59*C59*F59)</f>
        <v>0</v>
      </c>
      <c r="I59" s="31">
        <f t="shared" si="1"/>
        <v>0</v>
      </c>
      <c r="K59" s="70"/>
    </row>
    <row r="60" spans="1:9" ht="15">
      <c r="A60" s="96" t="s">
        <v>156</v>
      </c>
      <c r="B60" s="96"/>
      <c r="C60" s="96"/>
      <c r="D60" s="96"/>
      <c r="E60" s="96"/>
      <c r="F60" s="61">
        <f>IF(E60&gt;0,E60-(Anthropometry!B16/12)+Movements!F40,)</f>
        <v>0</v>
      </c>
      <c r="G60" s="31">
        <f>VLOOKUP(A60,Movements!A3:G47,7,TRUE)*B60+((VLOOKUP(A60,Movements!A3:G47,2,TRUE)+VLOOKUP(A60,Movements!A3:G47,3,TRUE))*D60*B60)</f>
        <v>0</v>
      </c>
      <c r="H60" s="31">
        <f>VLOOKUP(A60,Movements!A3:G47,6,TRUE)*B60*C60+(B60*C60*F60)</f>
        <v>0</v>
      </c>
      <c r="I60" s="31">
        <f t="shared" si="1"/>
        <v>0</v>
      </c>
    </row>
    <row r="61" spans="1:10" s="26" customFormat="1" ht="51" customHeight="1">
      <c r="A61" s="30"/>
      <c r="B61" s="26" t="s">
        <v>113</v>
      </c>
      <c r="C61" s="26" t="s">
        <v>114</v>
      </c>
      <c r="D61" s="2" t="s">
        <v>111</v>
      </c>
      <c r="H61" s="2" t="s">
        <v>167</v>
      </c>
      <c r="I61" s="32">
        <f>SUM(I48:I60)</f>
        <v>0</v>
      </c>
      <c r="J61" s="26" t="s">
        <v>71</v>
      </c>
    </row>
    <row r="62" spans="1:10" ht="15">
      <c r="A62" s="12"/>
      <c r="B62" s="96"/>
      <c r="C62" s="96"/>
      <c r="D62" s="40">
        <f>B62*60+C62</f>
        <v>0</v>
      </c>
      <c r="E62" s="11"/>
      <c r="F62" s="3"/>
      <c r="H62" t="s">
        <v>168</v>
      </c>
      <c r="I62" s="35">
        <f>IF(D62&gt;0,I61/D62,0)</f>
        <v>0</v>
      </c>
      <c r="J62" s="28" t="s">
        <v>112</v>
      </c>
    </row>
    <row r="63" spans="8:10" ht="15">
      <c r="H63" t="s">
        <v>168</v>
      </c>
      <c r="I63" s="35">
        <f>I62/0.738</f>
        <v>0</v>
      </c>
      <c r="J63" s="28" t="s">
        <v>72</v>
      </c>
    </row>
    <row r="64" spans="8:10" ht="15">
      <c r="H64" t="s">
        <v>168</v>
      </c>
      <c r="I64" s="36">
        <f>I62/550</f>
        <v>0</v>
      </c>
      <c r="J64" s="28" t="s">
        <v>73</v>
      </c>
    </row>
    <row r="65" spans="1:3" ht="15">
      <c r="A65" s="26" t="s">
        <v>117</v>
      </c>
      <c r="B65" s="96"/>
      <c r="C65" t="s">
        <v>118</v>
      </c>
    </row>
    <row r="66" spans="2:3" ht="15">
      <c r="B66" s="33">
        <f>B65/12</f>
        <v>0</v>
      </c>
      <c r="C66" t="s">
        <v>119</v>
      </c>
    </row>
    <row r="68" ht="51">
      <c r="A68" s="54" t="s">
        <v>162</v>
      </c>
    </row>
    <row r="69" spans="1:9" ht="15">
      <c r="A69" s="72" t="s">
        <v>171</v>
      </c>
      <c r="B69" s="114" t="s">
        <v>166</v>
      </c>
      <c r="C69" s="115"/>
      <c r="D69" s="115"/>
      <c r="E69" s="115"/>
      <c r="F69" s="115"/>
      <c r="G69" s="115"/>
      <c r="H69" s="115"/>
      <c r="I69" s="115"/>
    </row>
    <row r="70" spans="1:9" ht="15">
      <c r="A70" s="97" t="s">
        <v>121</v>
      </c>
      <c r="B70" s="116"/>
      <c r="C70" s="117"/>
      <c r="D70" s="117"/>
      <c r="E70" s="117"/>
      <c r="F70" s="117"/>
      <c r="G70" s="117"/>
      <c r="H70" s="117"/>
      <c r="I70" s="117"/>
    </row>
    <row r="71" spans="1:9" s="24" customFormat="1" ht="59.25" customHeight="1">
      <c r="A71" s="64" t="s">
        <v>0</v>
      </c>
      <c r="B71" s="65" t="s">
        <v>109</v>
      </c>
      <c r="C71" s="65" t="s">
        <v>108</v>
      </c>
      <c r="D71" s="66" t="s">
        <v>120</v>
      </c>
      <c r="E71" s="66" t="s">
        <v>164</v>
      </c>
      <c r="F71" s="66" t="s">
        <v>163</v>
      </c>
      <c r="G71" s="67" t="s">
        <v>68</v>
      </c>
      <c r="H71" s="67" t="s">
        <v>69</v>
      </c>
      <c r="I71" s="68" t="s">
        <v>110</v>
      </c>
    </row>
    <row r="72" spans="1:9" ht="15">
      <c r="A72" s="42" t="str">
        <f>VLOOKUP(A70,Movements!A96:AE125,2,)</f>
        <v>Pullup</v>
      </c>
      <c r="B72" s="3">
        <f>VLOOKUP(A70,Movements!A96:AE125,3,)</f>
        <v>100</v>
      </c>
      <c r="C72" s="3">
        <f>VLOOKUP(A70,Movements!A96:AE125,4,)</f>
        <v>0</v>
      </c>
      <c r="D72" s="98"/>
      <c r="E72" s="98"/>
      <c r="F72" s="62">
        <f>IF(E72&gt;0,E72-(Anthropometry!B16/12)+Movements!F40,)</f>
        <v>0</v>
      </c>
      <c r="G72" s="39">
        <f>VLOOKUP(A72,Movements!A3:G47,7,TRUE)*B72+((VLOOKUP(A72,Movements!A3:G47,2,TRUE)+VLOOKUP(A72,Movements!A3:G47,3,TRUE))*D72*B72)</f>
        <v>17068.337073077255</v>
      </c>
      <c r="H72" s="39">
        <f>VLOOKUP(A72,Movements!A3:G47,6,TRUE)*B72*C72+(B72*C72*F72)</f>
        <v>0</v>
      </c>
      <c r="I72" s="56">
        <f aca="true" t="shared" si="2" ref="I72:I81">IF(G72+H72&gt;0,G72+H72,0)</f>
        <v>17068.337073077255</v>
      </c>
    </row>
    <row r="73" spans="1:9" ht="15">
      <c r="A73" s="42" t="str">
        <f>VLOOKUP(A70,Movements!A96:AE125,5,)</f>
        <v>Pushup</v>
      </c>
      <c r="B73" s="3">
        <f>VLOOKUP(A70,Movements!A96:AE125,6,)</f>
        <v>100</v>
      </c>
      <c r="C73" s="3">
        <f>VLOOKUP(A70,Movements!A96:AE125,7,)</f>
        <v>0</v>
      </c>
      <c r="D73" s="98"/>
      <c r="E73" s="98"/>
      <c r="F73" s="62">
        <f>IF(E73&gt;0,E73-(Anthropometry!B16/12)+Movements!F40,)</f>
        <v>0</v>
      </c>
      <c r="G73" s="39">
        <f>VLOOKUP(A73,Movements!A3:G47,7,TRUE)*B73+((VLOOKUP(A73,Movements!A3:G47,2,TRUE)+VLOOKUP(A73,Movements!A3:G47,3,TRUE))*D73*B73)</f>
        <v>8914.628941497807</v>
      </c>
      <c r="H73" s="39">
        <f>VLOOKUP(A73,Movements!A3:G47,6,TRUE)*B73*C73+(B73*C73*F73)</f>
        <v>0</v>
      </c>
      <c r="I73" s="56">
        <f t="shared" si="2"/>
        <v>8914.628941497807</v>
      </c>
    </row>
    <row r="74" spans="1:9" ht="15">
      <c r="A74" s="42" t="str">
        <f>VLOOKUP(A70,Movements!A96:AE125,8,)</f>
        <v>Situp</v>
      </c>
      <c r="B74" s="3">
        <f>VLOOKUP(A70,Movements!A96:AE125,9,)</f>
        <v>100</v>
      </c>
      <c r="C74" s="3">
        <f>VLOOKUP(A70,Movements!A96:AE125,10,)</f>
        <v>0</v>
      </c>
      <c r="D74" s="98"/>
      <c r="E74" s="98"/>
      <c r="F74" s="62">
        <f>IF(E74&gt;0,E74-(Anthropometry!B16/12)+Movements!F40,)</f>
        <v>0</v>
      </c>
      <c r="G74" s="39">
        <f>VLOOKUP(A74,Movements!A3:G47,7,TRUE)*B74+((VLOOKUP(A74,Movements!A3:G47,2,TRUE)+VLOOKUP(A74,Movements!A3:G47,3,TRUE))*D74*B74)</f>
        <v>8264.610223909309</v>
      </c>
      <c r="H74" s="39">
        <f>VLOOKUP(A74,Movements!A3:G47,6,TRUE)*B74*C74+(B74*C74*F74)</f>
        <v>0</v>
      </c>
      <c r="I74" s="56">
        <f t="shared" si="2"/>
        <v>8264.610223909309</v>
      </c>
    </row>
    <row r="75" spans="1:9" ht="15">
      <c r="A75" s="42" t="str">
        <f>VLOOKUP(A70,Movements!A96:AE125,11,)</f>
        <v>Squat</v>
      </c>
      <c r="B75" s="3">
        <f>VLOOKUP(A70,Movements!A96:AE125,12,)</f>
        <v>100</v>
      </c>
      <c r="C75" s="3">
        <f>VLOOKUP(A70,Movements!A96:AE125,13,)</f>
        <v>0</v>
      </c>
      <c r="D75" s="98"/>
      <c r="E75" s="98"/>
      <c r="F75" s="62">
        <f>IF(E75&gt;0,E75-(Anthropometry!B16/12)+Movements!F40,)</f>
        <v>0</v>
      </c>
      <c r="G75" s="39">
        <f>VLOOKUP(A75,Movements!A3:G47,7,TRUE)*B75+((VLOOKUP(A75,Movements!A3:G47,2,TRUE)+VLOOKUP(A75,Movements!A3:G47,3,TRUE))*D75*B75)</f>
        <v>14491.18785742778</v>
      </c>
      <c r="H75" s="39">
        <f>VLOOKUP(A75,Movements!A3:G47,6,TRUE)*B75*C75+(B75*C75*F75)</f>
        <v>0</v>
      </c>
      <c r="I75" s="56">
        <f t="shared" si="2"/>
        <v>14491.18785742778</v>
      </c>
    </row>
    <row r="76" spans="1:9" ht="15">
      <c r="A76" s="42" t="str">
        <f>VLOOKUP(A70,Movements!A96:AE125,14,)</f>
        <v>Empty</v>
      </c>
      <c r="B76" s="3">
        <f>VLOOKUP(A70,Movements!A96:AE125,15,)</f>
        <v>0</v>
      </c>
      <c r="C76" s="3">
        <f>VLOOKUP(A70,Movements!A96:AE125,16,)</f>
        <v>0</v>
      </c>
      <c r="D76" s="98"/>
      <c r="E76" s="98"/>
      <c r="F76" s="62">
        <f>IF(E76&gt;0,E76-(Anthropometry!B16/12)+Movements!F40,)</f>
        <v>0</v>
      </c>
      <c r="G76" s="39">
        <f>VLOOKUP(A76,Movements!A3:G47,7,TRUE)*B76+((VLOOKUP(A76,Movements!A3:G47,2,TRUE)+VLOOKUP(A76,Movements!A3:G47,3,TRUE))*D76*B76)</f>
        <v>0</v>
      </c>
      <c r="H76" s="39">
        <f>VLOOKUP(A76,Movements!A3:G47,6,TRUE)*B76*C76+(B76*C76*F76)</f>
        <v>0</v>
      </c>
      <c r="I76" s="56">
        <f t="shared" si="2"/>
        <v>0</v>
      </c>
    </row>
    <row r="77" spans="1:9" ht="15">
      <c r="A77" s="42" t="str">
        <f>VLOOKUP(A70,Movements!A96:AE125,17,)</f>
        <v>Empty</v>
      </c>
      <c r="B77" s="3">
        <f>VLOOKUP(A70,Movements!A96:AE125,18,)</f>
        <v>0</v>
      </c>
      <c r="C77" s="3">
        <f>VLOOKUP(A70,Movements!A96:AE125,19,)</f>
        <v>0</v>
      </c>
      <c r="D77" s="98"/>
      <c r="E77" s="98"/>
      <c r="F77" s="62">
        <f>IF(E77&gt;0,E77-(Anthropometry!B16/12)+Movements!F40,)</f>
        <v>0</v>
      </c>
      <c r="G77" s="39">
        <f>VLOOKUP(A77,Movements!A3:G47,7,TRUE)*B77+((VLOOKUP(A77,Movements!A3:G47,2,TRUE)+VLOOKUP(A77,Movements!A3:G47,3,TRUE))*D77*B77)</f>
        <v>0</v>
      </c>
      <c r="H77" s="39">
        <f>VLOOKUP(A77,Movements!A3:G47,6,TRUE)*B77*C77+(B77*C77*F77)</f>
        <v>0</v>
      </c>
      <c r="I77" s="56">
        <f t="shared" si="2"/>
        <v>0</v>
      </c>
    </row>
    <row r="78" spans="1:9" ht="15">
      <c r="A78" s="42" t="str">
        <f>VLOOKUP(A70,Movements!A96:AE125,20,)</f>
        <v>Empty</v>
      </c>
      <c r="B78" s="3">
        <f>VLOOKUP(A70,Movements!A96:AE125,21,)</f>
        <v>0</v>
      </c>
      <c r="C78" s="3">
        <f>VLOOKUP(A70,Movements!A96:AE125,22,)</f>
        <v>0</v>
      </c>
      <c r="D78" s="98"/>
      <c r="E78" s="98"/>
      <c r="F78" s="62">
        <f>IF(E78&gt;0,E78-(Anthropometry!B16/12)+Movements!F40,)</f>
        <v>0</v>
      </c>
      <c r="G78" s="39">
        <f>VLOOKUP(A78,Movements!A3:G47,7,TRUE)*B78+((VLOOKUP(A78,Movements!A3:G47,2,TRUE)+VLOOKUP(A78,Movements!A3:G47,3,TRUE))*D78*B78)</f>
        <v>0</v>
      </c>
      <c r="H78" s="39">
        <f>VLOOKUP(A78,Movements!A3:G47,6,TRUE)*B78*C78+(B78*C78*F78)</f>
        <v>0</v>
      </c>
      <c r="I78" s="56">
        <f t="shared" si="2"/>
        <v>0</v>
      </c>
    </row>
    <row r="79" spans="1:9" ht="15">
      <c r="A79" s="42" t="str">
        <f>VLOOKUP(A70,Movements!A96:AE125,23,)</f>
        <v>Empty</v>
      </c>
      <c r="B79" s="3">
        <f>VLOOKUP(A70,Movements!A96:AE125,24,)</f>
        <v>0</v>
      </c>
      <c r="C79" s="3">
        <f>VLOOKUP(A70,Movements!A96:AE125,25,)</f>
        <v>0</v>
      </c>
      <c r="D79" s="98"/>
      <c r="E79" s="98"/>
      <c r="F79" s="62">
        <f>IF(E79&gt;0,E79-(Anthropometry!B16/12)+Movements!F40,)</f>
        <v>0</v>
      </c>
      <c r="G79" s="39">
        <f>VLOOKUP(A79,Movements!A3:G47,7,TRUE)*B79+((VLOOKUP(A79,Movements!A3:G47,2,TRUE)+VLOOKUP(A79,Movements!A3:G47,3,TRUE))*D79*B79)</f>
        <v>0</v>
      </c>
      <c r="H79" s="39">
        <f>VLOOKUP(A79,Movements!A3:G47,6,TRUE)*B79*C79+(B79*C79*F79)</f>
        <v>0</v>
      </c>
      <c r="I79" s="56">
        <f t="shared" si="2"/>
        <v>0</v>
      </c>
    </row>
    <row r="80" spans="1:9" ht="15">
      <c r="A80" s="42" t="str">
        <f>VLOOKUP(A70,Movements!A96:AE125,26,)</f>
        <v>Empty</v>
      </c>
      <c r="B80" s="3">
        <f>VLOOKUP(A70,Movements!A96:AE125,27,)</f>
        <v>0</v>
      </c>
      <c r="C80" s="3">
        <f>VLOOKUP(A70,Movements!A96:AE125,28,)</f>
        <v>0</v>
      </c>
      <c r="D80" s="98"/>
      <c r="E80" s="98"/>
      <c r="F80" s="62">
        <f>IF(E80&gt;0,E80-(Anthropometry!B16/12)+Movements!F40,)</f>
        <v>0</v>
      </c>
      <c r="G80" s="39">
        <f>VLOOKUP(A80,Movements!A3:G47,7,TRUE)*B80+((VLOOKUP(A80,Movements!A3:G47,2,TRUE)+VLOOKUP(A80,Movements!A3:G47,3,TRUE))*D80*B80)</f>
        <v>0</v>
      </c>
      <c r="H80" s="39">
        <f>VLOOKUP(A80,Movements!A3:G47,6,TRUE)*B80*C80+(B80*C80*F80)</f>
        <v>0</v>
      </c>
      <c r="I80" s="56">
        <f t="shared" si="2"/>
        <v>0</v>
      </c>
    </row>
    <row r="81" spans="1:9" ht="15">
      <c r="A81" s="43" t="str">
        <f>VLOOKUP(A70,Movements!A96:AE125,29,)</f>
        <v>Empty</v>
      </c>
      <c r="B81" s="9">
        <f>VLOOKUP(A70,Movements!A96:AE125,30,)</f>
        <v>0</v>
      </c>
      <c r="C81" s="9">
        <f>VLOOKUP(A70,Movements!A96:AE125,31,)</f>
        <v>0</v>
      </c>
      <c r="D81" s="98"/>
      <c r="E81" s="98"/>
      <c r="F81" s="63">
        <f>IF(E81&gt;0,E81-(Anthropometry!B16/12)+Movements!F40,)</f>
        <v>0</v>
      </c>
      <c r="G81" s="57">
        <f>VLOOKUP(A81,Movements!A3:G47,7,TRUE)*B81+((VLOOKUP(A81,Movements!A3:G47,2,TRUE)+VLOOKUP(A81,Movements!A3:G47,3,TRUE))*D81*B81)</f>
        <v>0</v>
      </c>
      <c r="H81" s="57">
        <f>VLOOKUP(A81,Movements!A3:G47,6,TRUE)*B81*C81+(B81*C81*F81)</f>
        <v>0</v>
      </c>
      <c r="I81" s="56">
        <f t="shared" si="2"/>
        <v>0</v>
      </c>
    </row>
    <row r="82" spans="1:10" ht="51" customHeight="1">
      <c r="A82" s="30"/>
      <c r="B82" s="26" t="s">
        <v>113</v>
      </c>
      <c r="C82" s="26" t="s">
        <v>114</v>
      </c>
      <c r="D82" s="2" t="s">
        <v>111</v>
      </c>
      <c r="E82" s="60"/>
      <c r="F82" s="60"/>
      <c r="G82" s="55"/>
      <c r="H82" s="2" t="s">
        <v>167</v>
      </c>
      <c r="I82" s="32">
        <f>SUM(I72:I81)</f>
        <v>48738.76409591215</v>
      </c>
      <c r="J82" s="26" t="s">
        <v>71</v>
      </c>
    </row>
    <row r="83" spans="1:10" ht="15">
      <c r="A83" s="12"/>
      <c r="B83" s="96"/>
      <c r="C83" s="96"/>
      <c r="D83" s="58">
        <f>B83*60+C83</f>
        <v>0</v>
      </c>
      <c r="E83" s="44"/>
      <c r="F83" s="44"/>
      <c r="G83" s="3"/>
      <c r="H83" s="3" t="s">
        <v>168</v>
      </c>
      <c r="I83" s="35">
        <f>IF(D83&gt;0,I82/D83,0)</f>
        <v>0</v>
      </c>
      <c r="J83" s="28" t="s">
        <v>112</v>
      </c>
    </row>
    <row r="84" spans="1:10" ht="15">
      <c r="A84" s="42"/>
      <c r="B84" s="3"/>
      <c r="C84" s="3"/>
      <c r="D84" s="3"/>
      <c r="E84" s="3"/>
      <c r="F84" s="3"/>
      <c r="G84" s="3"/>
      <c r="H84" s="3" t="s">
        <v>168</v>
      </c>
      <c r="I84" s="35">
        <f>I83/0.738</f>
        <v>0</v>
      </c>
      <c r="J84" s="28" t="s">
        <v>72</v>
      </c>
    </row>
    <row r="85" spans="1:10" ht="15">
      <c r="A85" s="42"/>
      <c r="B85" s="3"/>
      <c r="C85" s="3"/>
      <c r="D85" s="3"/>
      <c r="E85" s="3"/>
      <c r="F85" s="3"/>
      <c r="G85" s="3"/>
      <c r="H85" s="3" t="s">
        <v>168</v>
      </c>
      <c r="I85" s="36">
        <f>I83/550</f>
        <v>0</v>
      </c>
      <c r="J85" s="28" t="s">
        <v>73</v>
      </c>
    </row>
    <row r="86" spans="1:9" ht="15">
      <c r="A86" s="42"/>
      <c r="B86" s="3"/>
      <c r="C86" s="3"/>
      <c r="D86" s="3"/>
      <c r="E86" s="3"/>
      <c r="F86" s="3"/>
      <c r="G86" s="3"/>
      <c r="H86" s="3"/>
      <c r="I86" s="3"/>
    </row>
    <row r="87" spans="1:9" ht="15">
      <c r="A87" s="42"/>
      <c r="B87" s="3"/>
      <c r="C87" s="3"/>
      <c r="D87" s="3"/>
      <c r="E87" s="3"/>
      <c r="F87" s="3"/>
      <c r="G87" s="3"/>
      <c r="H87" s="3"/>
      <c r="I87" s="3"/>
    </row>
    <row r="88" ht="63.75">
      <c r="A88" s="54" t="s">
        <v>187</v>
      </c>
    </row>
    <row r="89" spans="1:9" ht="15">
      <c r="A89" s="72" t="s">
        <v>172</v>
      </c>
      <c r="B89" s="114" t="s">
        <v>166</v>
      </c>
      <c r="C89" s="115"/>
      <c r="D89" s="115"/>
      <c r="E89" s="115"/>
      <c r="F89" s="115"/>
      <c r="G89" s="115"/>
      <c r="H89" s="115"/>
      <c r="I89" s="115"/>
    </row>
    <row r="90" spans="1:9" ht="15">
      <c r="A90" s="97" t="s">
        <v>126</v>
      </c>
      <c r="B90" s="116"/>
      <c r="C90" s="117"/>
      <c r="D90" s="117"/>
      <c r="E90" s="117"/>
      <c r="F90" s="117"/>
      <c r="G90" s="117"/>
      <c r="H90" s="117"/>
      <c r="I90" s="117"/>
    </row>
    <row r="91" spans="1:11" ht="90">
      <c r="A91" s="64" t="s">
        <v>0</v>
      </c>
      <c r="B91" s="65" t="s">
        <v>109</v>
      </c>
      <c r="C91" s="65" t="s">
        <v>108</v>
      </c>
      <c r="D91" s="66" t="s">
        <v>120</v>
      </c>
      <c r="E91" s="66" t="s">
        <v>164</v>
      </c>
      <c r="F91" s="66" t="s">
        <v>163</v>
      </c>
      <c r="G91" s="67" t="s">
        <v>68</v>
      </c>
      <c r="H91" s="67" t="s">
        <v>69</v>
      </c>
      <c r="I91" s="67" t="s">
        <v>180</v>
      </c>
      <c r="J91" s="93" t="s">
        <v>178</v>
      </c>
      <c r="K91" s="92" t="s">
        <v>110</v>
      </c>
    </row>
    <row r="92" spans="1:11" ht="15" customHeight="1">
      <c r="A92" s="42" t="str">
        <f>VLOOKUP(A90,Movements!A129:AF133,3,)</f>
        <v>Pullup</v>
      </c>
      <c r="B92" s="91">
        <f>VLOOKUP(A90,Movements!A129:AF133,4,)</f>
        <v>5</v>
      </c>
      <c r="C92" s="3">
        <f>VLOOKUP(A90,Movements!A114:AF150,5,)</f>
        <v>0</v>
      </c>
      <c r="D92" s="98"/>
      <c r="E92" s="98"/>
      <c r="F92" s="62">
        <f>IF(E92&gt;0,E92-(Anthropometry!B16/12)+Movements!F60,)</f>
        <v>0</v>
      </c>
      <c r="G92" s="39">
        <f>VLOOKUP(A92,Movements!A3:G47,7,TRUE)*B92+((VLOOKUP(A92,Movements!A3:G47,2,TRUE)+VLOOKUP(A92,Movements!A3:G47,3,TRUE))*D92*B92)</f>
        <v>853.4168536538629</v>
      </c>
      <c r="H92" s="39">
        <f>VLOOKUP(A92,Movements!A3:G47,6,TRUE)*B92*C92+(B92*C92*F92)</f>
        <v>0</v>
      </c>
      <c r="I92" s="56">
        <f aca="true" t="shared" si="3" ref="I92:I101">IF(G92+H92&gt;0,G92+H92,0)</f>
        <v>853.4168536538629</v>
      </c>
      <c r="J92" s="98"/>
      <c r="K92" s="89">
        <f>IF(J92&gt;0,I92*A103+(I92/B92*J92),I92*A103)</f>
        <v>0</v>
      </c>
    </row>
    <row r="93" spans="1:11" ht="15" customHeight="1">
      <c r="A93" s="42" t="str">
        <f>VLOOKUP(A90,Movements!A129:AF133,6,)</f>
        <v>Pushup</v>
      </c>
      <c r="B93" s="44">
        <f>VLOOKUP(A90,Movements!A129:AF133,7,)</f>
        <v>10</v>
      </c>
      <c r="C93" s="3">
        <f>VLOOKUP(A90,Movements!A114:AF150,8,)</f>
        <v>0</v>
      </c>
      <c r="D93" s="98"/>
      <c r="E93" s="98"/>
      <c r="F93" s="62">
        <f>IF(E93&gt;0,E93-(Anthropometry!B16/12)+Movements!F60,)</f>
        <v>0</v>
      </c>
      <c r="G93" s="39">
        <f>VLOOKUP(A93,Movements!A3:G47,7,TRUE)*B93+((VLOOKUP(A93,Movements!A3:G47,2,TRUE)+VLOOKUP(A93,Movements!A3:G47,3,TRUE))*D93*B93)</f>
        <v>891.4628941497807</v>
      </c>
      <c r="H93" s="39">
        <f>VLOOKUP(A93,Movements!A3:G47,6,TRUE)*B93*C93+(B93*C93*F93)</f>
        <v>0</v>
      </c>
      <c r="I93" s="56">
        <f t="shared" si="3"/>
        <v>891.4628941497807</v>
      </c>
      <c r="J93" s="98"/>
      <c r="K93" s="78">
        <f>IF(J93&gt;0,I93*A103+(I93/B93*J93),I93*A103)</f>
        <v>0</v>
      </c>
    </row>
    <row r="94" spans="1:11" ht="15" customHeight="1">
      <c r="A94" s="42" t="str">
        <f>VLOOKUP(A90,Movements!A129:AF133,9,)</f>
        <v>Squat</v>
      </c>
      <c r="B94" s="44">
        <f>VLOOKUP(A90,Movements!A129:AF133,10,)</f>
        <v>15</v>
      </c>
      <c r="C94" s="3">
        <f>VLOOKUP(A90,Movements!A114:AF150,11,)</f>
        <v>0</v>
      </c>
      <c r="D94" s="98"/>
      <c r="E94" s="98"/>
      <c r="F94" s="62">
        <f>IF(E94&gt;0,E94-(Anthropometry!B16/12)+Movements!F60,)</f>
        <v>0</v>
      </c>
      <c r="G94" s="39">
        <f>VLOOKUP(A94,Movements!A3:G47,7,TRUE)*B94+((VLOOKUP(A94,Movements!A3:G47,2,TRUE)+VLOOKUP(A94,Movements!A3:G47,3,TRUE))*D94*B94)</f>
        <v>2173.6781786141673</v>
      </c>
      <c r="H94" s="39">
        <f>VLOOKUP(A94,Movements!A3:G47,6,TRUE)*B94*C94+(B94*C94*F94)</f>
        <v>0</v>
      </c>
      <c r="I94" s="56">
        <f>IF(G94+H94&gt;0,G94+H94,0)</f>
        <v>2173.6781786141673</v>
      </c>
      <c r="J94" s="98"/>
      <c r="K94" s="78">
        <f>IF(J94&gt;0,I94*A103+(I94/B94*J94),I94*A103)</f>
        <v>0</v>
      </c>
    </row>
    <row r="95" spans="1:11" ht="15" customHeight="1">
      <c r="A95" s="42" t="str">
        <f>VLOOKUP(A90,Movements!A129:AF133,12,)</f>
        <v>Empty</v>
      </c>
      <c r="B95" s="44">
        <f>VLOOKUP(A90,Movements!A129:AF133,13,)</f>
        <v>0</v>
      </c>
      <c r="C95" s="3">
        <f>VLOOKUP(A90,Movements!A114:AF150,14,)</f>
        <v>0</v>
      </c>
      <c r="D95" s="98"/>
      <c r="E95" s="98"/>
      <c r="F95" s="62">
        <f>IF(E95&gt;0,E95-(Anthropometry!B16/12)+Movements!F60,)</f>
        <v>0</v>
      </c>
      <c r="G95" s="39">
        <f>VLOOKUP(A95,Movements!A3:G47,7,TRUE)*B95+((VLOOKUP(A95,Movements!A3:G47,2,TRUE)+VLOOKUP(A95,Movements!A3:G47,3,TRUE))*D95*B95)</f>
        <v>0</v>
      </c>
      <c r="H95" s="39">
        <f>VLOOKUP(A95,Movements!A3:G47,6,TRUE)*B95*C95+(B95*C95*F95)</f>
        <v>0</v>
      </c>
      <c r="I95" s="56">
        <f t="shared" si="3"/>
        <v>0</v>
      </c>
      <c r="J95" s="98"/>
      <c r="K95" s="78">
        <f>IF(J95&gt;0,I95*A103+(I95/B95*J95),I95*A103)</f>
        <v>0</v>
      </c>
    </row>
    <row r="96" spans="1:11" ht="15" customHeight="1">
      <c r="A96" s="42" t="str">
        <f>VLOOKUP(A90,Movements!A129:AF133,15,)</f>
        <v>Empty</v>
      </c>
      <c r="B96" s="44">
        <f>VLOOKUP(A90,Movements!A129:AF133,16,)</f>
        <v>0</v>
      </c>
      <c r="C96" s="3">
        <f>VLOOKUP(A90,Movements!A114:AF150,17,)</f>
        <v>0</v>
      </c>
      <c r="D96" s="98"/>
      <c r="E96" s="98"/>
      <c r="F96" s="62">
        <f>IF(E96&gt;0,E96-(Anthropometry!B16/12)+Movements!F60,)</f>
        <v>0</v>
      </c>
      <c r="G96" s="39">
        <f>VLOOKUP(A96,Movements!A3:G47,7,TRUE)*B96+((VLOOKUP(A96,Movements!A3:G47,2,TRUE)+VLOOKUP(A96,Movements!A3:G47,3,TRUE))*D96*B96)</f>
        <v>0</v>
      </c>
      <c r="H96" s="39">
        <f>VLOOKUP(A96,Movements!A3:G47,6,TRUE)*B96*C96+(B96*C96*F96)</f>
        <v>0</v>
      </c>
      <c r="I96" s="56">
        <f t="shared" si="3"/>
        <v>0</v>
      </c>
      <c r="J96" s="98"/>
      <c r="K96" s="78">
        <f>IF(J96&gt;0,I96*A103+(I96/B96*J96),I96*A103)</f>
        <v>0</v>
      </c>
    </row>
    <row r="97" spans="1:11" ht="15" customHeight="1">
      <c r="A97" s="42" t="str">
        <f>VLOOKUP(A90,Movements!A129:AF133,18,)</f>
        <v>Empty</v>
      </c>
      <c r="B97" s="44">
        <f>VLOOKUP(A90,Movements!A129:AF133,19,)</f>
        <v>0</v>
      </c>
      <c r="C97" s="3">
        <f>VLOOKUP(A90,Movements!A114:AF150,20,)</f>
        <v>0</v>
      </c>
      <c r="D97" s="98"/>
      <c r="E97" s="98"/>
      <c r="F97" s="62">
        <f>IF(E97&gt;0,E97-(Anthropometry!B16/12)+Movements!F60,)</f>
        <v>0</v>
      </c>
      <c r="G97" s="39">
        <f>VLOOKUP(A97,Movements!A3:G47,7,TRUE)*B97+((VLOOKUP(A97,Movements!A3:G47,2,TRUE)+VLOOKUP(A97,Movements!A3:G47,3,TRUE))*D97*B97)</f>
        <v>0</v>
      </c>
      <c r="H97" s="39">
        <f>VLOOKUP(A97,Movements!A3:G47,6,TRUE)*B97*C97+(B97*C97*F97)</f>
        <v>0</v>
      </c>
      <c r="I97" s="56">
        <f t="shared" si="3"/>
        <v>0</v>
      </c>
      <c r="J97" s="98"/>
      <c r="K97" s="78">
        <f>IF(J97&gt;0,I97*A103+(I97/B97*J97),I97*A103)</f>
        <v>0</v>
      </c>
    </row>
    <row r="98" spans="1:11" ht="15" customHeight="1">
      <c r="A98" s="42" t="str">
        <f>VLOOKUP(A90,Movements!A129:AF133,21,)</f>
        <v>Empty</v>
      </c>
      <c r="B98" s="44">
        <f>VLOOKUP(A90,Movements!A129:AF133,22,)</f>
        <v>0</v>
      </c>
      <c r="C98" s="3">
        <f>VLOOKUP(A90,Movements!A114:AF150,23,)</f>
        <v>0</v>
      </c>
      <c r="D98" s="98"/>
      <c r="E98" s="98"/>
      <c r="F98" s="62">
        <f>IF(E98&gt;0,E98-(Anthropometry!B16/12)+Movements!F60,)</f>
        <v>0</v>
      </c>
      <c r="G98" s="39">
        <f>VLOOKUP(A98,Movements!A3:G47,7,TRUE)*B98+((VLOOKUP(A98,Movements!A3:G47,2,TRUE)+VLOOKUP(A98,Movements!A3:G47,3,TRUE))*D98*B98)</f>
        <v>0</v>
      </c>
      <c r="H98" s="39">
        <f>VLOOKUP(A98,Movements!A3:G47,6,TRUE)*B98*C98+(B98*C98*F98)</f>
        <v>0</v>
      </c>
      <c r="I98" s="56">
        <f t="shared" si="3"/>
        <v>0</v>
      </c>
      <c r="J98" s="98"/>
      <c r="K98" s="78">
        <f>IF(J98&gt;0,I98*A103+(I98/B98*J98),I98*A103)</f>
        <v>0</v>
      </c>
    </row>
    <row r="99" spans="1:11" ht="15" customHeight="1">
      <c r="A99" s="42" t="str">
        <f>VLOOKUP(A90,Movements!A129:AF133,24,)</f>
        <v>Empty</v>
      </c>
      <c r="B99" s="44">
        <f>VLOOKUP(A90,Movements!A129:AF133,25,)</f>
        <v>0</v>
      </c>
      <c r="C99" s="3">
        <f>VLOOKUP(A90,Movements!A114:AF150,26,)</f>
        <v>0</v>
      </c>
      <c r="D99" s="98"/>
      <c r="E99" s="98"/>
      <c r="F99" s="62">
        <f>IF(E99&gt;0,E99-(Anthropometry!B16/12)+Movements!F60,)</f>
        <v>0</v>
      </c>
      <c r="G99" s="39">
        <f>VLOOKUP(A99,Movements!A3:G47,7,TRUE)*B99+((VLOOKUP(A99,Movements!A3:G47,2,TRUE)+VLOOKUP(A99,Movements!A3:G47,3,TRUE))*D99*B99)</f>
        <v>0</v>
      </c>
      <c r="H99" s="39">
        <f>VLOOKUP(A99,Movements!A3:G47,6,TRUE)*B99*C99+(B99*C99*F99)</f>
        <v>0</v>
      </c>
      <c r="I99" s="56">
        <f t="shared" si="3"/>
        <v>0</v>
      </c>
      <c r="J99" s="98"/>
      <c r="K99" s="78">
        <f>IF(J99&gt;0,I99*A103+(I99/B99*J99),I99*A103)</f>
        <v>0</v>
      </c>
    </row>
    <row r="100" spans="1:11" ht="15" customHeight="1">
      <c r="A100" s="42" t="str">
        <f>VLOOKUP(A90,Movements!A129:AF133,27,)</f>
        <v>Empty</v>
      </c>
      <c r="B100" s="44">
        <f>VLOOKUP(A90,Movements!A129:AF133,28,)</f>
        <v>0</v>
      </c>
      <c r="C100" s="3">
        <f>VLOOKUP(A90,Movements!A114:AF150,29,)</f>
        <v>0</v>
      </c>
      <c r="D100" s="98"/>
      <c r="E100" s="98"/>
      <c r="F100" s="62">
        <f>IF(E100&gt;0,E100-(Anthropometry!B16/12)+Movements!F60,)</f>
        <v>0</v>
      </c>
      <c r="G100" s="39">
        <f>VLOOKUP(A100,Movements!A3:G47,7,TRUE)*B100+((VLOOKUP(A100,Movements!A3:G47,2,TRUE)+VLOOKUP(A100,Movements!A3:G47,3,TRUE))*D100*B100)</f>
        <v>0</v>
      </c>
      <c r="H100" s="39">
        <f>VLOOKUP(A100,Movements!A3:G47,6,TRUE)*B100*C100+(B100*C100*F100)</f>
        <v>0</v>
      </c>
      <c r="I100" s="56">
        <f t="shared" si="3"/>
        <v>0</v>
      </c>
      <c r="J100" s="98"/>
      <c r="K100" s="78">
        <f>IF(J100&gt;0,I100*A103+(I100/B100*J100),I100*A103)</f>
        <v>0</v>
      </c>
    </row>
    <row r="101" spans="1:11" ht="15" customHeight="1">
      <c r="A101" s="43" t="str">
        <f>VLOOKUP(A90,Movements!A129:AF133,30,)</f>
        <v>Empty</v>
      </c>
      <c r="B101" s="86">
        <f>VLOOKUP(A90,Movements!A129:AF133,31,)</f>
        <v>0</v>
      </c>
      <c r="C101" s="9">
        <f>VLOOKUP(A90,Movements!A114:AF150,32,)</f>
        <v>0</v>
      </c>
      <c r="D101" s="98"/>
      <c r="E101" s="98"/>
      <c r="F101" s="63">
        <f>IF(E101&gt;0,E101-(Anthropometry!B16/12)+Movements!F60,)</f>
        <v>0</v>
      </c>
      <c r="G101" s="57">
        <f>VLOOKUP(A101,Movements!A3:G47,7,TRUE)*B101+((VLOOKUP(A101,Movements!A3:G47,2,TRUE)+VLOOKUP(A101,Movements!A3:G47,3,TRUE))*D101*B101)</f>
        <v>0</v>
      </c>
      <c r="H101" s="57">
        <f>VLOOKUP(A101,Movements!A3:G47,6,TRUE)*B101*C101+(B101*C101*F101)</f>
        <v>0</v>
      </c>
      <c r="I101" s="88">
        <f t="shared" si="3"/>
        <v>0</v>
      </c>
      <c r="J101" s="98"/>
      <c r="K101" s="90">
        <f>IF(J101&gt;0,I101*A103+(I101/B101*J101),I101*A103)</f>
        <v>0</v>
      </c>
    </row>
    <row r="102" spans="1:10" ht="60">
      <c r="A102" s="94" t="s">
        <v>179</v>
      </c>
      <c r="B102" s="26" t="s">
        <v>113</v>
      </c>
      <c r="C102" s="26" t="s">
        <v>114</v>
      </c>
      <c r="D102" s="2" t="s">
        <v>111</v>
      </c>
      <c r="E102" s="60"/>
      <c r="F102" s="60"/>
      <c r="G102" s="55"/>
      <c r="H102" s="2" t="s">
        <v>167</v>
      </c>
      <c r="I102" s="32">
        <f>SUM(K92:K101)</f>
        <v>0</v>
      </c>
      <c r="J102" s="26" t="s">
        <v>71</v>
      </c>
    </row>
    <row r="103" spans="1:10" ht="15">
      <c r="A103" s="98"/>
      <c r="B103" s="58">
        <f>FLOOR(D103/60,1)</f>
        <v>20</v>
      </c>
      <c r="C103" s="58">
        <f>D103-(B103*60)</f>
        <v>0</v>
      </c>
      <c r="D103" s="58">
        <f>VLOOKUP(A90,Movements!A129:AF133,2,)*60</f>
        <v>1200</v>
      </c>
      <c r="E103" s="44"/>
      <c r="F103" s="44"/>
      <c r="G103" s="3"/>
      <c r="H103" s="3" t="s">
        <v>168</v>
      </c>
      <c r="I103" s="35">
        <f>IF(D103&gt;0,I102/D103,0)</f>
        <v>0</v>
      </c>
      <c r="J103" s="28" t="s">
        <v>112</v>
      </c>
    </row>
    <row r="104" spans="1:10" ht="15">
      <c r="A104" s="42"/>
      <c r="B104" s="3"/>
      <c r="C104" s="3"/>
      <c r="D104" s="3"/>
      <c r="E104" s="3"/>
      <c r="F104" s="3"/>
      <c r="G104" s="3"/>
      <c r="H104" s="3" t="s">
        <v>168</v>
      </c>
      <c r="I104" s="35">
        <f>I103/0.738</f>
        <v>0</v>
      </c>
      <c r="J104" s="28" t="s">
        <v>72</v>
      </c>
    </row>
    <row r="105" spans="1:10" ht="15">
      <c r="A105" s="42"/>
      <c r="B105" s="3"/>
      <c r="C105" s="3"/>
      <c r="D105" s="3"/>
      <c r="E105" s="3"/>
      <c r="F105" s="3"/>
      <c r="G105" s="3"/>
      <c r="H105" s="3" t="s">
        <v>168</v>
      </c>
      <c r="I105" s="36">
        <f>I103/550</f>
        <v>0</v>
      </c>
      <c r="J105" s="28" t="s">
        <v>73</v>
      </c>
    </row>
  </sheetData>
  <sheetProtection sheet="1"/>
  <mergeCells count="3">
    <mergeCell ref="B69:I70"/>
    <mergeCell ref="B89:I90"/>
    <mergeCell ref="A45:D46"/>
  </mergeCells>
  <dataValidations count="3">
    <dataValidation type="list" allowBlank="1" showInputMessage="1" showErrorMessage="1" sqref="A70">
      <formula1>TaskPriorityBenchmarks</formula1>
    </dataValidation>
    <dataValidation type="list" showInputMessage="1" showErrorMessage="1" sqref="A48:A60">
      <formula1>MovementList</formula1>
    </dataValidation>
    <dataValidation type="list" allowBlank="1" showInputMessage="1" showErrorMessage="1" sqref="A90">
      <formula1>TimePriorityBenchmarks</formula1>
    </dataValidation>
  </dataValidation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AH133"/>
  <sheetViews>
    <sheetView zoomScalePageLayoutView="0" workbookViewId="0" topLeftCell="A1">
      <pane ySplit="1" topLeftCell="A2" activePane="bottomLeft" state="frozen"/>
      <selection pane="topLeft" activeCell="A1" sqref="A1"/>
      <selection pane="bottomLeft" activeCell="D46" sqref="D46"/>
    </sheetView>
  </sheetViews>
  <sheetFormatPr defaultColWidth="9.140625" defaultRowHeight="15"/>
  <cols>
    <col min="1" max="1" width="20.57421875" style="0" customWidth="1"/>
    <col min="2" max="3" width="10.28125" style="0" customWidth="1"/>
    <col min="4" max="6" width="9.421875" style="0" customWidth="1"/>
  </cols>
  <sheetData>
    <row r="1" spans="1:7" s="23" customFormat="1" ht="76.5">
      <c r="A1" s="23" t="s">
        <v>0</v>
      </c>
      <c r="B1" s="23" t="s">
        <v>66</v>
      </c>
      <c r="C1" s="23" t="s">
        <v>67</v>
      </c>
      <c r="D1" s="23" t="s">
        <v>115</v>
      </c>
      <c r="E1" s="23" t="s">
        <v>116</v>
      </c>
      <c r="F1" s="23" t="s">
        <v>70</v>
      </c>
      <c r="G1" s="23" t="s">
        <v>64</v>
      </c>
    </row>
    <row r="2" spans="1:7" s="37" customFormat="1" ht="15">
      <c r="A2" s="69" t="s">
        <v>156</v>
      </c>
      <c r="B2" s="71">
        <v>0</v>
      </c>
      <c r="C2" s="71"/>
      <c r="D2" s="71">
        <v>0</v>
      </c>
      <c r="E2" s="71"/>
      <c r="F2" s="71"/>
      <c r="G2" s="71">
        <v>0</v>
      </c>
    </row>
    <row r="3" spans="1:7" ht="15">
      <c r="A3" t="s">
        <v>84</v>
      </c>
      <c r="B3" s="22">
        <f>Anthropometry!D7+Anthropometry!D6</f>
        <v>52.001499261463294</v>
      </c>
      <c r="C3" s="22"/>
      <c r="D3" s="22">
        <f>1/2*(Anthropometry!B6+Anthropometry!B7)/12</f>
        <v>1.25</v>
      </c>
      <c r="E3" s="22"/>
      <c r="F3" s="22"/>
      <c r="G3" s="22">
        <f aca="true" t="shared" si="0" ref="G3:G47">(B3*D3+C3*E3)</f>
        <v>65.00187407682913</v>
      </c>
    </row>
    <row r="4" spans="1:7" ht="15">
      <c r="A4" t="s">
        <v>161</v>
      </c>
      <c r="B4" s="22">
        <f>Anthropometry!D13+Anthropometry!D14+Anthropometry!D15</f>
        <v>9.429890957717904</v>
      </c>
      <c r="C4" s="22"/>
      <c r="D4" s="22">
        <f>((Anthropometry!B13+Anthropometry!B14)/2)/12</f>
        <v>0.7083333333333334</v>
      </c>
      <c r="E4" s="22"/>
      <c r="F4" s="22">
        <f>(Anthropometry!B14+0.5*Anthropometry!B13)/12</f>
        <v>1.0416666666666667</v>
      </c>
      <c r="G4" s="22">
        <f t="shared" si="0"/>
        <v>6.679506095050182</v>
      </c>
    </row>
    <row r="5" spans="1:7" ht="15">
      <c r="A5" t="s">
        <v>62</v>
      </c>
      <c r="B5" s="21">
        <f>Anthropometry!B2</f>
        <v>125</v>
      </c>
      <c r="C5" s="21"/>
      <c r="D5" s="21"/>
      <c r="E5" s="21"/>
      <c r="F5" s="21"/>
      <c r="G5" s="22">
        <f t="shared" si="0"/>
        <v>0</v>
      </c>
    </row>
    <row r="6" spans="1:7" ht="15">
      <c r="A6" t="s">
        <v>87</v>
      </c>
      <c r="B6" s="22">
        <f>B40</f>
        <v>108.68390893070836</v>
      </c>
      <c r="C6" s="22">
        <f>B34</f>
        <v>118.86171921997077</v>
      </c>
      <c r="D6" s="22">
        <f>D40</f>
        <v>1.3333333333333333</v>
      </c>
      <c r="E6" s="22">
        <f>D34</f>
        <v>0.75</v>
      </c>
      <c r="F6" s="22"/>
      <c r="G6" s="22">
        <f t="shared" si="0"/>
        <v>234.05816798925588</v>
      </c>
    </row>
    <row r="7" spans="1:7" ht="15">
      <c r="A7" t="s">
        <v>157</v>
      </c>
      <c r="B7" s="22">
        <f>B28</f>
        <v>108.68390893070836</v>
      </c>
      <c r="C7" s="22">
        <f>B33</f>
        <v>108.68390893070836</v>
      </c>
      <c r="D7" s="22">
        <f>D28</f>
        <v>0.375</v>
      </c>
      <c r="E7" s="22">
        <f>D33</f>
        <v>1.1666666666666667</v>
      </c>
      <c r="F7" s="22">
        <f>(Anthropometry!B17-0.5*Anthropometry!B25)/12</f>
        <v>5.179166666666666</v>
      </c>
      <c r="G7" s="22">
        <f t="shared" si="0"/>
        <v>167.55435960150874</v>
      </c>
    </row>
    <row r="8" spans="1:7" ht="15">
      <c r="A8" t="s">
        <v>2</v>
      </c>
      <c r="B8" s="21">
        <f>Anthropometry!D9+Anthropometry!D8+Anthropometry!D7+Anthropometry!D6+Anthropometry!D13+Anthropometry!D14+Anthropometry!D15</f>
        <v>108.68390893070836</v>
      </c>
      <c r="C8" s="21"/>
      <c r="D8" s="21">
        <f>0.5*Anthropometry!B10/12</f>
        <v>0.375</v>
      </c>
      <c r="E8" s="21"/>
      <c r="F8" s="21">
        <f>(Anthropometry!B16-Anthropometry!B13-Anthropometry!B14-Anthropometry!B11-(0.5*Anthropometry!B10)-((Anthropometry!B25)/2))/12</f>
        <v>1.7208333333333332</v>
      </c>
      <c r="G8" s="22">
        <f t="shared" si="0"/>
        <v>40.75646584901563</v>
      </c>
    </row>
    <row r="9" spans="1:7" ht="15">
      <c r="A9" t="s">
        <v>83</v>
      </c>
      <c r="B9" s="22">
        <f>B34</f>
        <v>118.86171921997077</v>
      </c>
      <c r="C9" s="22"/>
      <c r="D9" s="22">
        <f>D34</f>
        <v>0.75</v>
      </c>
      <c r="E9" s="22"/>
      <c r="F9" s="22">
        <f>Anthropometry!B13/12</f>
        <v>0.75</v>
      </c>
      <c r="G9" s="22">
        <f t="shared" si="0"/>
        <v>89.14628941497807</v>
      </c>
    </row>
    <row r="10" spans="1:7" ht="15">
      <c r="A10" t="s">
        <v>104</v>
      </c>
      <c r="B10" s="22">
        <f>Anthropometry!B2</f>
        <v>125</v>
      </c>
      <c r="C10" s="22"/>
      <c r="D10" s="22">
        <f>Anthropometry!B11/12*2</f>
        <v>0.5</v>
      </c>
      <c r="E10" s="22"/>
      <c r="F10" s="22">
        <f>(Anthropometry!A2*2)/12</f>
        <v>10.833333333333334</v>
      </c>
      <c r="G10" s="22">
        <f t="shared" si="0"/>
        <v>62.5</v>
      </c>
    </row>
    <row r="11" spans="1:7" ht="15">
      <c r="A11" t="s">
        <v>156</v>
      </c>
      <c r="B11" s="22">
        <v>0</v>
      </c>
      <c r="C11" s="22"/>
      <c r="D11" s="22">
        <v>0</v>
      </c>
      <c r="E11" s="22"/>
      <c r="F11" s="22"/>
      <c r="G11" s="22">
        <v>0</v>
      </c>
    </row>
    <row r="12" spans="1:7" ht="15">
      <c r="A12" t="s">
        <v>90</v>
      </c>
      <c r="B12" s="22">
        <f>B40</f>
        <v>108.68390893070836</v>
      </c>
      <c r="C12" s="22"/>
      <c r="D12" s="22">
        <f>D40</f>
        <v>1.3333333333333333</v>
      </c>
      <c r="E12" s="22"/>
      <c r="F12" s="22">
        <f>F40</f>
        <v>1.3333333333333333</v>
      </c>
      <c r="G12" s="22">
        <f t="shared" si="0"/>
        <v>144.9118785742778</v>
      </c>
    </row>
    <row r="13" spans="1:7" ht="15">
      <c r="A13" t="s">
        <v>93</v>
      </c>
      <c r="B13" s="22">
        <f>B39</f>
        <v>66.11688179127448</v>
      </c>
      <c r="C13" s="22"/>
      <c r="D13" s="22">
        <f>(Anthropometry!B6+Anthropometry!B7)/12</f>
        <v>2.5</v>
      </c>
      <c r="E13" s="22"/>
      <c r="F13" s="22"/>
      <c r="G13" s="22">
        <f t="shared" si="0"/>
        <v>165.2922044781862</v>
      </c>
    </row>
    <row r="14" spans="1:7" ht="15">
      <c r="A14" t="s">
        <v>95</v>
      </c>
      <c r="B14" s="22">
        <f>Anthropometry!B2-Anthropometry!D14-Anthropometry!D15</f>
        <v>120.48237933936886</v>
      </c>
      <c r="C14" s="22"/>
      <c r="D14" s="22">
        <f>(Anthropometry!B17-Anthropometry!B20)/12</f>
        <v>0.5</v>
      </c>
      <c r="E14" s="22"/>
      <c r="F14" s="22">
        <f>(Anthropometry!B17-Anthropometry!A2)/12</f>
        <v>0.5</v>
      </c>
      <c r="G14" s="22">
        <f t="shared" si="0"/>
        <v>60.24118966968443</v>
      </c>
    </row>
    <row r="15" spans="1:7" ht="15">
      <c r="A15" t="s">
        <v>76</v>
      </c>
      <c r="B15" s="22">
        <f>B8</f>
        <v>108.68390893070836</v>
      </c>
      <c r="C15" s="22"/>
      <c r="D15" s="22">
        <f>Anthropometry!B8/12</f>
        <v>0.5833333333333334</v>
      </c>
      <c r="E15" s="22"/>
      <c r="F15" s="22">
        <f>(Anthropometry!B8+Anthropometry!B7)/12</f>
        <v>2.1666666666666665</v>
      </c>
      <c r="G15" s="22">
        <f t="shared" si="0"/>
        <v>63.39894687624655</v>
      </c>
    </row>
    <row r="16" spans="1:7" ht="15">
      <c r="A16" t="s">
        <v>78</v>
      </c>
      <c r="B16" s="22">
        <f>B8</f>
        <v>108.68390893070836</v>
      </c>
      <c r="C16" s="22"/>
      <c r="D16" s="22">
        <f>Anthropometry!B8/12</f>
        <v>0.5833333333333334</v>
      </c>
      <c r="E16" s="22"/>
      <c r="F16" s="22">
        <f>(Anthropometry!B17+Anthropometry!B8-Anthropometry!B9-Anthropometry!B10-Anthropometry!B11)/12</f>
        <v>4.166666666666667</v>
      </c>
      <c r="G16" s="22">
        <f t="shared" si="0"/>
        <v>63.39894687624655</v>
      </c>
    </row>
    <row r="17" spans="1:7" ht="15">
      <c r="A17" t="s">
        <v>77</v>
      </c>
      <c r="B17" s="22">
        <f>B8</f>
        <v>108.68390893070836</v>
      </c>
      <c r="C17" s="22">
        <f>B40</f>
        <v>108.68390893070836</v>
      </c>
      <c r="D17" s="22">
        <f>Anthropometry!B8/12</f>
        <v>0.5833333333333334</v>
      </c>
      <c r="E17" s="22">
        <f>D40</f>
        <v>1.3333333333333333</v>
      </c>
      <c r="F17" s="22">
        <f>(Anthropometry!B8+Anthropometry!B7)/12</f>
        <v>2.1666666666666665</v>
      </c>
      <c r="G17" s="22">
        <f t="shared" si="0"/>
        <v>208.31082545052436</v>
      </c>
    </row>
    <row r="18" spans="1:7" ht="15">
      <c r="A18" t="s">
        <v>79</v>
      </c>
      <c r="B18" s="22">
        <f>B8</f>
        <v>108.68390893070836</v>
      </c>
      <c r="C18" s="22">
        <f>B40</f>
        <v>108.68390893070836</v>
      </c>
      <c r="D18" s="22">
        <f>Anthropometry!B8/12</f>
        <v>0.5833333333333334</v>
      </c>
      <c r="E18" s="22"/>
      <c r="F18" s="22">
        <f>(Anthropometry!B17+Anthropometry!B8-Anthropometry!B9-Anthropometry!B10-Anthropometry!B11)/12</f>
        <v>4.166666666666667</v>
      </c>
      <c r="G18" s="22">
        <f t="shared" si="0"/>
        <v>63.39894687624655</v>
      </c>
    </row>
    <row r="19" spans="1:7" ht="15">
      <c r="A19" t="s">
        <v>86</v>
      </c>
      <c r="B19" s="22">
        <f>Anthropometry!D6+Anthropometry!D7+Anthropometry!D8</f>
        <v>66.11688179127448</v>
      </c>
      <c r="C19" s="22"/>
      <c r="D19" s="22">
        <f>((Anthropometry!B6+Anthropometry!B7+Anthropometry!B8)/2)/12</f>
        <v>1.5416666666666667</v>
      </c>
      <c r="E19" s="22"/>
      <c r="F19" s="22"/>
      <c r="G19" s="22">
        <f t="shared" si="0"/>
        <v>101.93019276154816</v>
      </c>
    </row>
    <row r="20" spans="1:7" ht="15">
      <c r="A20" t="s">
        <v>85</v>
      </c>
      <c r="B20" s="22">
        <f>Anthropometry!D6+Anthropometry!D7</f>
        <v>52.001499261463294</v>
      </c>
      <c r="C20" s="22"/>
      <c r="D20" s="22">
        <f>D19</f>
        <v>1.5416666666666667</v>
      </c>
      <c r="E20" s="22"/>
      <c r="F20" s="22"/>
      <c r="G20" s="22">
        <f t="shared" si="0"/>
        <v>80.16897802808926</v>
      </c>
    </row>
    <row r="21" spans="1:7" ht="15">
      <c r="A21" t="s">
        <v>107</v>
      </c>
      <c r="B21" s="22">
        <f>B15</f>
        <v>108.68390893070836</v>
      </c>
      <c r="C21" s="22"/>
      <c r="D21" s="22">
        <f>Anthropometry!B8/12</f>
        <v>0.5833333333333334</v>
      </c>
      <c r="E21" s="22"/>
      <c r="F21" s="22">
        <f>(Anthropometry!B20-Anthropometry!B9-Anthropometry!B10-Anthropometry!B11)/12</f>
        <v>3.0833333333333335</v>
      </c>
      <c r="G21" s="22">
        <f t="shared" si="0"/>
        <v>63.39894687624655</v>
      </c>
    </row>
    <row r="22" spans="1:7" ht="15">
      <c r="A22" t="s">
        <v>96</v>
      </c>
      <c r="B22" s="22">
        <f>B31</f>
        <v>120.48237933936886</v>
      </c>
      <c r="C22" s="22"/>
      <c r="D22" s="22">
        <f>((Anthropometry!B16-(Anthropometry!B11+Anthropometry!B10)-Anthropometry!B13)/2)/12</f>
        <v>1.375</v>
      </c>
      <c r="E22" s="22"/>
      <c r="F22" s="22"/>
      <c r="G22" s="22">
        <f t="shared" si="0"/>
        <v>165.6632715916322</v>
      </c>
    </row>
    <row r="23" spans="1:7" ht="15">
      <c r="A23" t="s">
        <v>97</v>
      </c>
      <c r="B23" s="22">
        <f>B31</f>
        <v>120.48237933936886</v>
      </c>
      <c r="C23" s="22"/>
      <c r="D23" s="22">
        <f>D31</f>
        <v>1.4166666666666667</v>
      </c>
      <c r="E23" s="22"/>
      <c r="F23" s="22">
        <f>F31</f>
        <v>1.4166666666666667</v>
      </c>
      <c r="G23" s="22">
        <f t="shared" si="0"/>
        <v>170.68337073077257</v>
      </c>
    </row>
    <row r="24" spans="1:7" ht="15">
      <c r="A24" t="s">
        <v>98</v>
      </c>
      <c r="B24" s="22">
        <f>B8</f>
        <v>108.68390893070836</v>
      </c>
      <c r="C24" s="22">
        <f>B40</f>
        <v>108.68390893070836</v>
      </c>
      <c r="D24" s="22">
        <f>D41</f>
        <v>0.375</v>
      </c>
      <c r="E24" s="22">
        <f>E41</f>
        <v>1.3333333333333333</v>
      </c>
      <c r="F24" s="22"/>
      <c r="G24" s="22">
        <f t="shared" si="0"/>
        <v>185.66834442329343</v>
      </c>
    </row>
    <row r="25" spans="1:7" ht="15">
      <c r="A25" t="s">
        <v>82</v>
      </c>
      <c r="B25" s="22">
        <f>Anthropometry!B2</f>
        <v>125</v>
      </c>
      <c r="C25" s="22"/>
      <c r="D25" s="22">
        <f>((Anthropometry!B13+Anthropometry!B14)*2)/12</f>
        <v>2.8333333333333335</v>
      </c>
      <c r="E25" s="22"/>
      <c r="F25" s="22">
        <f>((Anthropometry!B13+Anthropometry!B14)*2)/12</f>
        <v>2.8333333333333335</v>
      </c>
      <c r="G25" s="22">
        <f t="shared" si="0"/>
        <v>354.1666666666667</v>
      </c>
    </row>
    <row r="26" spans="1:7" ht="15">
      <c r="A26" t="s">
        <v>6</v>
      </c>
      <c r="B26" s="21">
        <f>B40</f>
        <v>108.68390893070836</v>
      </c>
      <c r="C26" s="21"/>
      <c r="D26" s="21">
        <f>D40</f>
        <v>1.3333333333333333</v>
      </c>
      <c r="E26" s="21"/>
      <c r="F26" s="21">
        <f>F40</f>
        <v>1.3333333333333333</v>
      </c>
      <c r="G26" s="22">
        <f t="shared" si="0"/>
        <v>144.9118785742778</v>
      </c>
    </row>
    <row r="27" spans="1:7" ht="15">
      <c r="A27" t="s">
        <v>102</v>
      </c>
      <c r="B27" s="22">
        <f>B40+((Anthropometry!D10+Anthropometry!D12)/2)</f>
        <v>113.05615365937102</v>
      </c>
      <c r="C27" s="22"/>
      <c r="D27" s="22">
        <f>D40</f>
        <v>1.3333333333333333</v>
      </c>
      <c r="E27" s="22"/>
      <c r="F27" s="22">
        <f>F40</f>
        <v>1.3333333333333333</v>
      </c>
      <c r="G27" s="22">
        <f t="shared" si="0"/>
        <v>150.74153821249467</v>
      </c>
    </row>
    <row r="28" spans="1:7" ht="15">
      <c r="A28" t="s">
        <v>4</v>
      </c>
      <c r="B28" s="21">
        <f>B8</f>
        <v>108.68390893070836</v>
      </c>
      <c r="C28" s="21"/>
      <c r="D28" s="21">
        <f>D8</f>
        <v>0.375</v>
      </c>
      <c r="E28" s="21"/>
      <c r="F28" s="21">
        <f>(Anthropometry!B16-((Anthropometry!B25)/2))/12</f>
        <v>3.7624999999999997</v>
      </c>
      <c r="G28" s="22">
        <f t="shared" si="0"/>
        <v>40.75646584901563</v>
      </c>
    </row>
    <row r="29" spans="1:7" ht="15">
      <c r="A29" t="s">
        <v>5</v>
      </c>
      <c r="B29" s="21">
        <f>B8</f>
        <v>108.68390893070836</v>
      </c>
      <c r="C29" s="21"/>
      <c r="D29" s="21">
        <f>D8</f>
        <v>0.375</v>
      </c>
      <c r="E29" s="21"/>
      <c r="F29" s="21">
        <f>(Anthropometry!B17-((Anthropometry!B25)/2))/12</f>
        <v>5.179166666666666</v>
      </c>
      <c r="G29" s="22">
        <f t="shared" si="0"/>
        <v>40.75646584901563</v>
      </c>
    </row>
    <row r="30" spans="1:7" ht="15">
      <c r="A30" t="s">
        <v>3</v>
      </c>
      <c r="B30" s="21">
        <f>Anthropometry!D13+Anthropometry!D14+Anthropometry!D15</f>
        <v>9.429890957717904</v>
      </c>
      <c r="C30" s="21"/>
      <c r="D30" s="21">
        <f>((Anthropometry!B13+Anthropometry!B14)/2)/12</f>
        <v>0.7083333333333334</v>
      </c>
      <c r="E30" s="21"/>
      <c r="F30" s="21">
        <f>(Anthropometry!B13+Anthropometry!B14)/12</f>
        <v>1.4166666666666667</v>
      </c>
      <c r="G30" s="22">
        <f t="shared" si="0"/>
        <v>6.679506095050182</v>
      </c>
    </row>
    <row r="31" spans="1:7" ht="15">
      <c r="A31" t="s">
        <v>63</v>
      </c>
      <c r="B31" s="21">
        <f>Anthropometry!B2-Anthropometry!D15-Anthropometry!D14</f>
        <v>120.48237933936886</v>
      </c>
      <c r="C31" s="21"/>
      <c r="D31" s="21">
        <f>(Anthropometry!B13+Anthropometry!B14)/12</f>
        <v>1.4166666666666667</v>
      </c>
      <c r="E31" s="21"/>
      <c r="F31" s="21">
        <f>(Anthropometry!B13+Anthropometry!B14)/12</f>
        <v>1.4166666666666667</v>
      </c>
      <c r="G31" s="22">
        <f t="shared" si="0"/>
        <v>170.68337073077257</v>
      </c>
    </row>
    <row r="32" spans="1:7" ht="15">
      <c r="A32" t="s">
        <v>91</v>
      </c>
      <c r="B32" s="22">
        <f>B8</f>
        <v>108.68390893070836</v>
      </c>
      <c r="C32" s="22">
        <f>B30</f>
        <v>9.429890957717904</v>
      </c>
      <c r="D32" s="22">
        <f>(Anthropometry!B8/12)</f>
        <v>0.5833333333333334</v>
      </c>
      <c r="E32" s="22">
        <f>D30</f>
        <v>0.7083333333333334</v>
      </c>
      <c r="F32" s="22">
        <f>F30+(Anthropometry!B8/12)</f>
        <v>2</v>
      </c>
      <c r="G32" s="22">
        <f t="shared" si="0"/>
        <v>70.07845297129673</v>
      </c>
    </row>
    <row r="33" spans="1:7" ht="15">
      <c r="A33" t="s">
        <v>92</v>
      </c>
      <c r="B33" s="22">
        <f>B8</f>
        <v>108.68390893070836</v>
      </c>
      <c r="C33" s="22"/>
      <c r="D33" s="22">
        <f>((Anthropometry!B8/12)*2)</f>
        <v>1.1666666666666667</v>
      </c>
      <c r="E33" s="22"/>
      <c r="F33" s="22">
        <f>F30+(Anthropometry!B8/12)</f>
        <v>2</v>
      </c>
      <c r="G33" s="22">
        <f t="shared" si="0"/>
        <v>126.7978937524931</v>
      </c>
    </row>
    <row r="34" spans="1:7" ht="15">
      <c r="A34" t="s">
        <v>88</v>
      </c>
      <c r="B34" s="22">
        <f>Anthropometry!B2-Anthropometry!D12-Anthropometry!D14-Anthropometry!D15</f>
        <v>118.86171921997077</v>
      </c>
      <c r="C34" s="22"/>
      <c r="D34" s="22">
        <f>Anthropometry!B13/12</f>
        <v>0.75</v>
      </c>
      <c r="E34" s="22"/>
      <c r="F34" s="22"/>
      <c r="G34" s="22">
        <f t="shared" si="0"/>
        <v>89.14628941497807</v>
      </c>
    </row>
    <row r="35" spans="1:7" ht="15">
      <c r="A35" t="s">
        <v>160</v>
      </c>
      <c r="B35" s="22">
        <f>B34</f>
        <v>118.86171921997077</v>
      </c>
      <c r="C35" s="22"/>
      <c r="D35" s="22">
        <f>D34</f>
        <v>0.75</v>
      </c>
      <c r="E35" s="22"/>
      <c r="F35" s="22">
        <f>Anthropometry!B13/12</f>
        <v>0.75</v>
      </c>
      <c r="G35" s="22">
        <f t="shared" si="0"/>
        <v>89.14628941497807</v>
      </c>
    </row>
    <row r="36" spans="1:7" ht="15">
      <c r="A36" t="s">
        <v>99</v>
      </c>
      <c r="B36" s="22">
        <f>Anthropometry!B2</f>
        <v>125</v>
      </c>
      <c r="C36" s="22"/>
      <c r="D36" s="22">
        <v>0</v>
      </c>
      <c r="E36" s="22"/>
      <c r="F36" s="22">
        <v>0</v>
      </c>
      <c r="G36" s="22">
        <f t="shared" si="0"/>
        <v>0</v>
      </c>
    </row>
    <row r="37" spans="1:7" ht="15">
      <c r="A37" t="s">
        <v>170</v>
      </c>
      <c r="B37" s="22">
        <f>Anthropometry!B2</f>
        <v>125</v>
      </c>
      <c r="C37" s="22"/>
      <c r="D37" s="22"/>
      <c r="E37" s="22"/>
      <c r="F37" s="22"/>
      <c r="G37" s="22">
        <f>B37/175*45</f>
        <v>32.142857142857146</v>
      </c>
    </row>
    <row r="38" spans="1:7" ht="15">
      <c r="A38" t="s">
        <v>169</v>
      </c>
      <c r="B38" s="22">
        <f>Anthropometry!B2</f>
        <v>125</v>
      </c>
      <c r="C38" s="22"/>
      <c r="D38" s="22"/>
      <c r="E38" s="22"/>
      <c r="F38" s="22"/>
      <c r="G38" s="22">
        <f>B38*360/1609.344</f>
        <v>27.96170365068003</v>
      </c>
    </row>
    <row r="39" spans="1:7" ht="15">
      <c r="A39" t="s">
        <v>94</v>
      </c>
      <c r="B39" s="22">
        <f>Anthropometry!D6+Anthropometry!D7+Anthropometry!D8</f>
        <v>66.11688179127448</v>
      </c>
      <c r="C39" s="22"/>
      <c r="D39" s="22">
        <f>((Anthropometry!B6+Anthropometry!B7)/12)/2</f>
        <v>1.25</v>
      </c>
      <c r="E39" s="22"/>
      <c r="F39" s="22"/>
      <c r="G39" s="22">
        <f t="shared" si="0"/>
        <v>82.6461022390931</v>
      </c>
    </row>
    <row r="40" spans="1:7" ht="15">
      <c r="A40" t="s">
        <v>1</v>
      </c>
      <c r="B40" s="21">
        <f>Anthropometry!D9+Anthropometry!D8+Anthropometry!D7+Anthropometry!D6+Anthropometry!D13+Anthropometry!D14+Anthropometry!D15</f>
        <v>108.68390893070836</v>
      </c>
      <c r="C40" s="21"/>
      <c r="D40" s="21">
        <f>(Anthropometry!B9)/12</f>
        <v>1.3333333333333333</v>
      </c>
      <c r="E40" s="21"/>
      <c r="F40" s="21">
        <f>(Anthropometry!B9)/12</f>
        <v>1.3333333333333333</v>
      </c>
      <c r="G40" s="22">
        <f t="shared" si="0"/>
        <v>144.9118785742778</v>
      </c>
    </row>
    <row r="41" spans="1:7" ht="15">
      <c r="A41" t="s">
        <v>74</v>
      </c>
      <c r="B41" s="21">
        <f>B8</f>
        <v>108.68390893070836</v>
      </c>
      <c r="C41" s="21">
        <f>B40</f>
        <v>108.68390893070836</v>
      </c>
      <c r="D41" s="21">
        <f>D8</f>
        <v>0.375</v>
      </c>
      <c r="E41" s="21">
        <f>D40</f>
        <v>1.3333333333333333</v>
      </c>
      <c r="F41" s="21">
        <f>(Anthropometry!B16-((Anthropometry!B25)/2))/12</f>
        <v>3.7624999999999997</v>
      </c>
      <c r="G41" s="22">
        <f t="shared" si="0"/>
        <v>185.66834442329343</v>
      </c>
    </row>
    <row r="42" spans="1:7" ht="15">
      <c r="A42" t="s">
        <v>89</v>
      </c>
      <c r="B42" s="22">
        <f>B8</f>
        <v>108.68390893070836</v>
      </c>
      <c r="C42" s="22">
        <f>B33</f>
        <v>108.68390893070836</v>
      </c>
      <c r="D42" s="22">
        <f>D41+E41</f>
        <v>1.7083333333333333</v>
      </c>
      <c r="E42" s="22">
        <f>D33</f>
        <v>1.1666666666666667</v>
      </c>
      <c r="F42" s="22">
        <f>(Anthropometry!B17-((Anthropometry!B25)/2))/12</f>
        <v>5.179166666666666</v>
      </c>
      <c r="G42" s="22">
        <f t="shared" si="0"/>
        <v>312.46623817578654</v>
      </c>
    </row>
    <row r="43" spans="1:7" ht="15">
      <c r="A43" t="s">
        <v>75</v>
      </c>
      <c r="B43" s="21">
        <f>B8</f>
        <v>108.68390893070836</v>
      </c>
      <c r="C43" s="21">
        <f>B40</f>
        <v>108.68390893070836</v>
      </c>
      <c r="D43" s="21">
        <f>D8</f>
        <v>0.375</v>
      </c>
      <c r="E43" s="21">
        <f>D40</f>
        <v>1.3333333333333333</v>
      </c>
      <c r="F43" s="21">
        <f>(Anthropometry!B17-((Anthropometry!B25)/2))/12</f>
        <v>5.179166666666666</v>
      </c>
      <c r="G43" s="22">
        <f t="shared" si="0"/>
        <v>185.66834442329343</v>
      </c>
    </row>
    <row r="44" spans="1:7" ht="15">
      <c r="A44" t="s">
        <v>100</v>
      </c>
      <c r="B44" s="22">
        <f>B8</f>
        <v>108.68390893070836</v>
      </c>
      <c r="C44" s="22">
        <f>Anthropometry!D13+Anthropometry!D14+Anthropometry!D15</f>
        <v>9.429890957717904</v>
      </c>
      <c r="D44" s="22">
        <f>D8</f>
        <v>0.375</v>
      </c>
      <c r="E44" s="22">
        <f>((Anthropometry!B13+Anthropometry!B14+Anthropometry!B15)/2)/12</f>
        <v>0.9583333333333334</v>
      </c>
      <c r="F44" s="22">
        <f>(Anthropometry!B16-((Anthropometry!B25)/2))/12</f>
        <v>3.7624999999999997</v>
      </c>
      <c r="G44" s="22">
        <f t="shared" si="0"/>
        <v>49.793444683495295</v>
      </c>
    </row>
    <row r="45" spans="1:7" ht="15">
      <c r="A45" t="s">
        <v>65</v>
      </c>
      <c r="B45" s="22">
        <f>B40</f>
        <v>108.68390893070836</v>
      </c>
      <c r="C45" s="22">
        <f>B30</f>
        <v>9.429890957717904</v>
      </c>
      <c r="D45" s="22">
        <f>D40</f>
        <v>1.3333333333333333</v>
      </c>
      <c r="E45" s="22">
        <f>D30</f>
        <v>0.7083333333333334</v>
      </c>
      <c r="F45" s="22">
        <f>F40+F30</f>
        <v>2.75</v>
      </c>
      <c r="G45" s="22">
        <f t="shared" si="0"/>
        <v>151.591384669328</v>
      </c>
    </row>
    <row r="46" spans="1:7" ht="15">
      <c r="A46" t="s">
        <v>101</v>
      </c>
      <c r="B46" s="22">
        <f>B40</f>
        <v>108.68390893070836</v>
      </c>
      <c r="C46" s="22">
        <f>B30</f>
        <v>9.429890957717904</v>
      </c>
      <c r="D46" s="22">
        <f>D40</f>
        <v>1.3333333333333333</v>
      </c>
      <c r="E46" s="22">
        <f>D30</f>
        <v>0.7083333333333334</v>
      </c>
      <c r="F46" s="22">
        <v>0</v>
      </c>
      <c r="G46" s="22">
        <f t="shared" si="0"/>
        <v>151.591384669328</v>
      </c>
    </row>
    <row r="47" spans="1:7" ht="15">
      <c r="A47" t="s">
        <v>103</v>
      </c>
      <c r="B47" s="22">
        <f>Anthropometry!B2-(Anthropometry!D10/2)-Anthropometry!D12</f>
        <v>119.8174252116383</v>
      </c>
      <c r="C47" s="22"/>
      <c r="D47" s="22">
        <f>(Anthropometry!B10+Anthropometry!B11)/12</f>
        <v>1</v>
      </c>
      <c r="E47" s="22"/>
      <c r="F47" s="22">
        <f>(Anthropometry!B10+Anthropometry!B11)/12</f>
        <v>1</v>
      </c>
      <c r="G47" s="22">
        <f t="shared" si="0"/>
        <v>119.8174252116383</v>
      </c>
    </row>
    <row r="51" spans="2:29" ht="15" customHeight="1" hidden="1">
      <c r="B51" t="s">
        <v>84</v>
      </c>
      <c r="E51" t="s">
        <v>84</v>
      </c>
      <c r="H51" t="s">
        <v>84</v>
      </c>
      <c r="K51" t="s">
        <v>84</v>
      </c>
      <c r="N51" t="s">
        <v>84</v>
      </c>
      <c r="Q51" t="s">
        <v>84</v>
      </c>
      <c r="T51" t="s">
        <v>84</v>
      </c>
      <c r="W51" t="s">
        <v>84</v>
      </c>
      <c r="Z51" t="s">
        <v>84</v>
      </c>
      <c r="AC51" t="s">
        <v>84</v>
      </c>
    </row>
    <row r="52" spans="2:29" ht="15" customHeight="1" hidden="1">
      <c r="B52" t="s">
        <v>161</v>
      </c>
      <c r="E52" t="s">
        <v>161</v>
      </c>
      <c r="H52" t="s">
        <v>161</v>
      </c>
      <c r="K52" t="s">
        <v>161</v>
      </c>
      <c r="N52" t="s">
        <v>161</v>
      </c>
      <c r="Q52" t="s">
        <v>161</v>
      </c>
      <c r="T52" t="s">
        <v>161</v>
      </c>
      <c r="W52" t="s">
        <v>161</v>
      </c>
      <c r="Z52" t="s">
        <v>161</v>
      </c>
      <c r="AC52" t="s">
        <v>161</v>
      </c>
    </row>
    <row r="53" spans="2:29" ht="15" customHeight="1" hidden="1">
      <c r="B53" t="s">
        <v>62</v>
      </c>
      <c r="E53" t="s">
        <v>62</v>
      </c>
      <c r="H53" t="s">
        <v>62</v>
      </c>
      <c r="K53" t="s">
        <v>62</v>
      </c>
      <c r="N53" t="s">
        <v>62</v>
      </c>
      <c r="Q53" t="s">
        <v>62</v>
      </c>
      <c r="T53" t="s">
        <v>62</v>
      </c>
      <c r="W53" t="s">
        <v>62</v>
      </c>
      <c r="Z53" t="s">
        <v>62</v>
      </c>
      <c r="AC53" t="s">
        <v>62</v>
      </c>
    </row>
    <row r="54" spans="2:29" ht="15" customHeight="1" hidden="1">
      <c r="B54" t="s">
        <v>87</v>
      </c>
      <c r="E54" t="s">
        <v>87</v>
      </c>
      <c r="H54" t="s">
        <v>87</v>
      </c>
      <c r="K54" t="s">
        <v>87</v>
      </c>
      <c r="N54" t="s">
        <v>87</v>
      </c>
      <c r="Q54" t="s">
        <v>87</v>
      </c>
      <c r="T54" t="s">
        <v>87</v>
      </c>
      <c r="W54" t="s">
        <v>87</v>
      </c>
      <c r="Z54" t="s">
        <v>87</v>
      </c>
      <c r="AC54" t="s">
        <v>87</v>
      </c>
    </row>
    <row r="55" spans="2:29" ht="15" customHeight="1" hidden="1">
      <c r="B55" t="s">
        <v>157</v>
      </c>
      <c r="E55" t="s">
        <v>157</v>
      </c>
      <c r="H55" t="s">
        <v>157</v>
      </c>
      <c r="K55" t="s">
        <v>157</v>
      </c>
      <c r="N55" t="s">
        <v>157</v>
      </c>
      <c r="Q55" t="s">
        <v>157</v>
      </c>
      <c r="T55" t="s">
        <v>157</v>
      </c>
      <c r="W55" t="s">
        <v>157</v>
      </c>
      <c r="Z55" t="s">
        <v>157</v>
      </c>
      <c r="AC55" t="s">
        <v>157</v>
      </c>
    </row>
    <row r="56" spans="2:29" ht="15" customHeight="1" hidden="1">
      <c r="B56" t="s">
        <v>2</v>
      </c>
      <c r="E56" t="s">
        <v>2</v>
      </c>
      <c r="H56" t="s">
        <v>2</v>
      </c>
      <c r="K56" t="s">
        <v>2</v>
      </c>
      <c r="N56" t="s">
        <v>2</v>
      </c>
      <c r="Q56" t="s">
        <v>2</v>
      </c>
      <c r="T56" t="s">
        <v>2</v>
      </c>
      <c r="W56" t="s">
        <v>2</v>
      </c>
      <c r="Z56" t="s">
        <v>2</v>
      </c>
      <c r="AC56" t="s">
        <v>2</v>
      </c>
    </row>
    <row r="57" spans="2:29" ht="15" customHeight="1" hidden="1">
      <c r="B57" t="s">
        <v>83</v>
      </c>
      <c r="E57" t="s">
        <v>83</v>
      </c>
      <c r="H57" t="s">
        <v>83</v>
      </c>
      <c r="K57" t="s">
        <v>83</v>
      </c>
      <c r="N57" t="s">
        <v>83</v>
      </c>
      <c r="Q57" t="s">
        <v>83</v>
      </c>
      <c r="T57" t="s">
        <v>83</v>
      </c>
      <c r="W57" t="s">
        <v>83</v>
      </c>
      <c r="Z57" t="s">
        <v>83</v>
      </c>
      <c r="AC57" t="s">
        <v>83</v>
      </c>
    </row>
    <row r="58" spans="2:29" ht="15" customHeight="1" hidden="1">
      <c r="B58" t="s">
        <v>104</v>
      </c>
      <c r="E58" t="s">
        <v>104</v>
      </c>
      <c r="H58" t="s">
        <v>104</v>
      </c>
      <c r="K58" t="s">
        <v>104</v>
      </c>
      <c r="N58" t="s">
        <v>104</v>
      </c>
      <c r="Q58" t="s">
        <v>104</v>
      </c>
      <c r="T58" t="s">
        <v>104</v>
      </c>
      <c r="W58" t="s">
        <v>104</v>
      </c>
      <c r="Z58" t="s">
        <v>104</v>
      </c>
      <c r="AC58" t="s">
        <v>104</v>
      </c>
    </row>
    <row r="59" spans="2:29" ht="15" customHeight="1" hidden="1">
      <c r="B59" t="s">
        <v>90</v>
      </c>
      <c r="E59" t="s">
        <v>90</v>
      </c>
      <c r="H59" t="s">
        <v>90</v>
      </c>
      <c r="K59" t="s">
        <v>90</v>
      </c>
      <c r="N59" t="s">
        <v>90</v>
      </c>
      <c r="Q59" t="s">
        <v>90</v>
      </c>
      <c r="T59" t="s">
        <v>90</v>
      </c>
      <c r="W59" t="s">
        <v>90</v>
      </c>
      <c r="Z59" t="s">
        <v>90</v>
      </c>
      <c r="AC59" t="s">
        <v>90</v>
      </c>
    </row>
    <row r="60" spans="2:29" ht="15" customHeight="1" hidden="1">
      <c r="B60" t="s">
        <v>93</v>
      </c>
      <c r="E60" t="s">
        <v>93</v>
      </c>
      <c r="H60" t="s">
        <v>93</v>
      </c>
      <c r="K60" t="s">
        <v>93</v>
      </c>
      <c r="N60" t="s">
        <v>93</v>
      </c>
      <c r="Q60" t="s">
        <v>93</v>
      </c>
      <c r="T60" t="s">
        <v>93</v>
      </c>
      <c r="W60" t="s">
        <v>93</v>
      </c>
      <c r="Z60" t="s">
        <v>93</v>
      </c>
      <c r="AC60" t="s">
        <v>93</v>
      </c>
    </row>
    <row r="61" spans="2:29" ht="15" customHeight="1" hidden="1">
      <c r="B61" t="s">
        <v>95</v>
      </c>
      <c r="E61" t="s">
        <v>95</v>
      </c>
      <c r="H61" t="s">
        <v>95</v>
      </c>
      <c r="K61" t="s">
        <v>95</v>
      </c>
      <c r="N61" t="s">
        <v>95</v>
      </c>
      <c r="Q61" t="s">
        <v>95</v>
      </c>
      <c r="T61" t="s">
        <v>95</v>
      </c>
      <c r="W61" t="s">
        <v>95</v>
      </c>
      <c r="Z61" t="s">
        <v>95</v>
      </c>
      <c r="AC61" t="s">
        <v>95</v>
      </c>
    </row>
    <row r="62" spans="2:29" ht="15" customHeight="1" hidden="1">
      <c r="B62" t="s">
        <v>76</v>
      </c>
      <c r="E62" t="s">
        <v>76</v>
      </c>
      <c r="H62" t="s">
        <v>76</v>
      </c>
      <c r="K62" t="s">
        <v>76</v>
      </c>
      <c r="N62" t="s">
        <v>76</v>
      </c>
      <c r="Q62" t="s">
        <v>76</v>
      </c>
      <c r="T62" t="s">
        <v>76</v>
      </c>
      <c r="W62" t="s">
        <v>76</v>
      </c>
      <c r="Z62" t="s">
        <v>76</v>
      </c>
      <c r="AC62" t="s">
        <v>76</v>
      </c>
    </row>
    <row r="63" spans="2:29" ht="15" customHeight="1" hidden="1">
      <c r="B63" t="s">
        <v>78</v>
      </c>
      <c r="E63" t="s">
        <v>78</v>
      </c>
      <c r="H63" t="s">
        <v>78</v>
      </c>
      <c r="K63" t="s">
        <v>78</v>
      </c>
      <c r="N63" t="s">
        <v>78</v>
      </c>
      <c r="Q63" t="s">
        <v>78</v>
      </c>
      <c r="T63" t="s">
        <v>78</v>
      </c>
      <c r="W63" t="s">
        <v>78</v>
      </c>
      <c r="Z63" t="s">
        <v>78</v>
      </c>
      <c r="AC63" t="s">
        <v>78</v>
      </c>
    </row>
    <row r="64" spans="2:29" ht="15" customHeight="1" hidden="1">
      <c r="B64" t="s">
        <v>77</v>
      </c>
      <c r="E64" t="s">
        <v>77</v>
      </c>
      <c r="H64" t="s">
        <v>77</v>
      </c>
      <c r="K64" t="s">
        <v>77</v>
      </c>
      <c r="N64" t="s">
        <v>77</v>
      </c>
      <c r="Q64" t="s">
        <v>77</v>
      </c>
      <c r="T64" t="s">
        <v>77</v>
      </c>
      <c r="W64" t="s">
        <v>77</v>
      </c>
      <c r="Z64" t="s">
        <v>77</v>
      </c>
      <c r="AC64" t="s">
        <v>77</v>
      </c>
    </row>
    <row r="65" spans="2:29" ht="15" customHeight="1" hidden="1">
      <c r="B65" t="s">
        <v>79</v>
      </c>
      <c r="E65" t="s">
        <v>79</v>
      </c>
      <c r="H65" t="s">
        <v>79</v>
      </c>
      <c r="K65" t="s">
        <v>79</v>
      </c>
      <c r="N65" t="s">
        <v>79</v>
      </c>
      <c r="Q65" t="s">
        <v>79</v>
      </c>
      <c r="T65" t="s">
        <v>79</v>
      </c>
      <c r="W65" t="s">
        <v>79</v>
      </c>
      <c r="Z65" t="s">
        <v>79</v>
      </c>
      <c r="AC65" t="s">
        <v>79</v>
      </c>
    </row>
    <row r="66" spans="2:29" ht="15" customHeight="1" hidden="1">
      <c r="B66" t="s">
        <v>86</v>
      </c>
      <c r="E66" t="s">
        <v>86</v>
      </c>
      <c r="H66" t="s">
        <v>86</v>
      </c>
      <c r="K66" t="s">
        <v>86</v>
      </c>
      <c r="N66" t="s">
        <v>86</v>
      </c>
      <c r="Q66" t="s">
        <v>86</v>
      </c>
      <c r="T66" t="s">
        <v>86</v>
      </c>
      <c r="W66" t="s">
        <v>86</v>
      </c>
      <c r="Z66" t="s">
        <v>86</v>
      </c>
      <c r="AC66" t="s">
        <v>86</v>
      </c>
    </row>
    <row r="67" spans="2:29" ht="15" customHeight="1" hidden="1">
      <c r="B67" t="s">
        <v>85</v>
      </c>
      <c r="E67" t="s">
        <v>85</v>
      </c>
      <c r="H67" t="s">
        <v>85</v>
      </c>
      <c r="K67" t="s">
        <v>85</v>
      </c>
      <c r="N67" t="s">
        <v>85</v>
      </c>
      <c r="Q67" t="s">
        <v>85</v>
      </c>
      <c r="T67" t="s">
        <v>85</v>
      </c>
      <c r="W67" t="s">
        <v>85</v>
      </c>
      <c r="Z67" t="s">
        <v>85</v>
      </c>
      <c r="AC67" t="s">
        <v>85</v>
      </c>
    </row>
    <row r="68" spans="2:29" ht="15" customHeight="1" hidden="1">
      <c r="B68" t="s">
        <v>107</v>
      </c>
      <c r="E68" t="s">
        <v>107</v>
      </c>
      <c r="H68" t="s">
        <v>107</v>
      </c>
      <c r="K68" t="s">
        <v>107</v>
      </c>
      <c r="N68" t="s">
        <v>107</v>
      </c>
      <c r="Q68" t="s">
        <v>107</v>
      </c>
      <c r="T68" t="s">
        <v>107</v>
      </c>
      <c r="W68" t="s">
        <v>107</v>
      </c>
      <c r="Z68" t="s">
        <v>107</v>
      </c>
      <c r="AC68" t="s">
        <v>107</v>
      </c>
    </row>
    <row r="69" spans="2:29" ht="15" customHeight="1" hidden="1">
      <c r="B69" t="s">
        <v>96</v>
      </c>
      <c r="E69" t="s">
        <v>96</v>
      </c>
      <c r="H69" t="s">
        <v>96</v>
      </c>
      <c r="K69" t="s">
        <v>96</v>
      </c>
      <c r="N69" t="s">
        <v>96</v>
      </c>
      <c r="Q69" t="s">
        <v>96</v>
      </c>
      <c r="T69" t="s">
        <v>96</v>
      </c>
      <c r="W69" t="s">
        <v>96</v>
      </c>
      <c r="Z69" t="s">
        <v>96</v>
      </c>
      <c r="AC69" t="s">
        <v>96</v>
      </c>
    </row>
    <row r="70" spans="2:29" ht="15" customHeight="1" hidden="1">
      <c r="B70" t="s">
        <v>97</v>
      </c>
      <c r="E70" t="s">
        <v>97</v>
      </c>
      <c r="H70" t="s">
        <v>97</v>
      </c>
      <c r="K70" t="s">
        <v>97</v>
      </c>
      <c r="N70" t="s">
        <v>97</v>
      </c>
      <c r="Q70" t="s">
        <v>97</v>
      </c>
      <c r="T70" t="s">
        <v>97</v>
      </c>
      <c r="W70" t="s">
        <v>97</v>
      </c>
      <c r="Z70" t="s">
        <v>97</v>
      </c>
      <c r="AC70" t="s">
        <v>97</v>
      </c>
    </row>
    <row r="71" spans="2:29" ht="15" customHeight="1" hidden="1">
      <c r="B71" t="s">
        <v>98</v>
      </c>
      <c r="E71" t="s">
        <v>98</v>
      </c>
      <c r="H71" t="s">
        <v>98</v>
      </c>
      <c r="K71" t="s">
        <v>98</v>
      </c>
      <c r="N71" t="s">
        <v>98</v>
      </c>
      <c r="Q71" t="s">
        <v>98</v>
      </c>
      <c r="T71" t="s">
        <v>98</v>
      </c>
      <c r="W71" t="s">
        <v>98</v>
      </c>
      <c r="Z71" t="s">
        <v>98</v>
      </c>
      <c r="AC71" t="s">
        <v>98</v>
      </c>
    </row>
    <row r="72" spans="2:29" ht="15" customHeight="1" hidden="1">
      <c r="B72" t="s">
        <v>82</v>
      </c>
      <c r="E72" t="s">
        <v>82</v>
      </c>
      <c r="H72" t="s">
        <v>82</v>
      </c>
      <c r="K72" t="s">
        <v>82</v>
      </c>
      <c r="N72" t="s">
        <v>82</v>
      </c>
      <c r="Q72" t="s">
        <v>82</v>
      </c>
      <c r="T72" t="s">
        <v>82</v>
      </c>
      <c r="W72" t="s">
        <v>82</v>
      </c>
      <c r="Z72" t="s">
        <v>82</v>
      </c>
      <c r="AC72" t="s">
        <v>82</v>
      </c>
    </row>
    <row r="73" spans="2:29" ht="15" customHeight="1" hidden="1">
      <c r="B73" t="s">
        <v>6</v>
      </c>
      <c r="E73" t="s">
        <v>6</v>
      </c>
      <c r="H73" t="s">
        <v>6</v>
      </c>
      <c r="K73" t="s">
        <v>6</v>
      </c>
      <c r="N73" t="s">
        <v>6</v>
      </c>
      <c r="Q73" t="s">
        <v>6</v>
      </c>
      <c r="T73" t="s">
        <v>6</v>
      </c>
      <c r="W73" t="s">
        <v>6</v>
      </c>
      <c r="Z73" t="s">
        <v>6</v>
      </c>
      <c r="AC73" t="s">
        <v>6</v>
      </c>
    </row>
    <row r="74" spans="2:29" ht="15" customHeight="1" hidden="1">
      <c r="B74" t="s">
        <v>102</v>
      </c>
      <c r="E74" t="s">
        <v>102</v>
      </c>
      <c r="H74" t="s">
        <v>102</v>
      </c>
      <c r="K74" t="s">
        <v>102</v>
      </c>
      <c r="N74" t="s">
        <v>102</v>
      </c>
      <c r="Q74" t="s">
        <v>102</v>
      </c>
      <c r="T74" t="s">
        <v>102</v>
      </c>
      <c r="W74" t="s">
        <v>102</v>
      </c>
      <c r="Z74" t="s">
        <v>102</v>
      </c>
      <c r="AC74" t="s">
        <v>102</v>
      </c>
    </row>
    <row r="75" spans="2:29" ht="15" customHeight="1" hidden="1">
      <c r="B75" t="s">
        <v>4</v>
      </c>
      <c r="E75" t="s">
        <v>4</v>
      </c>
      <c r="H75" t="s">
        <v>4</v>
      </c>
      <c r="K75" t="s">
        <v>4</v>
      </c>
      <c r="N75" t="s">
        <v>4</v>
      </c>
      <c r="Q75" t="s">
        <v>4</v>
      </c>
      <c r="T75" t="s">
        <v>4</v>
      </c>
      <c r="W75" t="s">
        <v>4</v>
      </c>
      <c r="Z75" t="s">
        <v>4</v>
      </c>
      <c r="AC75" t="s">
        <v>4</v>
      </c>
    </row>
    <row r="76" spans="2:29" ht="15" customHeight="1" hidden="1">
      <c r="B76" t="s">
        <v>5</v>
      </c>
      <c r="E76" t="s">
        <v>5</v>
      </c>
      <c r="H76" t="s">
        <v>5</v>
      </c>
      <c r="K76" t="s">
        <v>5</v>
      </c>
      <c r="N76" t="s">
        <v>5</v>
      </c>
      <c r="Q76" t="s">
        <v>5</v>
      </c>
      <c r="T76" t="s">
        <v>5</v>
      </c>
      <c r="W76" t="s">
        <v>5</v>
      </c>
      <c r="Z76" t="s">
        <v>5</v>
      </c>
      <c r="AC76" t="s">
        <v>5</v>
      </c>
    </row>
    <row r="77" spans="2:29" ht="15" customHeight="1" hidden="1">
      <c r="B77" t="s">
        <v>3</v>
      </c>
      <c r="E77" t="s">
        <v>3</v>
      </c>
      <c r="H77" t="s">
        <v>3</v>
      </c>
      <c r="K77" t="s">
        <v>3</v>
      </c>
      <c r="N77" t="s">
        <v>3</v>
      </c>
      <c r="Q77" t="s">
        <v>3</v>
      </c>
      <c r="T77" t="s">
        <v>3</v>
      </c>
      <c r="W77" t="s">
        <v>3</v>
      </c>
      <c r="Z77" t="s">
        <v>3</v>
      </c>
      <c r="AC77" t="s">
        <v>3</v>
      </c>
    </row>
    <row r="78" spans="2:29" ht="15" customHeight="1" hidden="1">
      <c r="B78" t="s">
        <v>63</v>
      </c>
      <c r="E78" t="s">
        <v>63</v>
      </c>
      <c r="H78" t="s">
        <v>63</v>
      </c>
      <c r="K78" t="s">
        <v>63</v>
      </c>
      <c r="N78" t="s">
        <v>63</v>
      </c>
      <c r="Q78" t="s">
        <v>63</v>
      </c>
      <c r="T78" t="s">
        <v>63</v>
      </c>
      <c r="W78" t="s">
        <v>63</v>
      </c>
      <c r="Z78" t="s">
        <v>63</v>
      </c>
      <c r="AC78" t="s">
        <v>63</v>
      </c>
    </row>
    <row r="79" spans="2:29" ht="15" customHeight="1" hidden="1">
      <c r="B79" t="s">
        <v>91</v>
      </c>
      <c r="E79" t="s">
        <v>91</v>
      </c>
      <c r="H79" t="s">
        <v>91</v>
      </c>
      <c r="K79" t="s">
        <v>91</v>
      </c>
      <c r="N79" t="s">
        <v>91</v>
      </c>
      <c r="Q79" t="s">
        <v>91</v>
      </c>
      <c r="T79" t="s">
        <v>91</v>
      </c>
      <c r="W79" t="s">
        <v>91</v>
      </c>
      <c r="Z79" t="s">
        <v>91</v>
      </c>
      <c r="AC79" t="s">
        <v>91</v>
      </c>
    </row>
    <row r="80" spans="2:29" ht="15" customHeight="1" hidden="1">
      <c r="B80" t="s">
        <v>92</v>
      </c>
      <c r="E80" t="s">
        <v>92</v>
      </c>
      <c r="H80" t="s">
        <v>92</v>
      </c>
      <c r="K80" t="s">
        <v>92</v>
      </c>
      <c r="N80" t="s">
        <v>92</v>
      </c>
      <c r="Q80" t="s">
        <v>92</v>
      </c>
      <c r="T80" t="s">
        <v>92</v>
      </c>
      <c r="W80" t="s">
        <v>92</v>
      </c>
      <c r="Z80" t="s">
        <v>92</v>
      </c>
      <c r="AC80" t="s">
        <v>92</v>
      </c>
    </row>
    <row r="81" spans="2:29" ht="15" customHeight="1" hidden="1">
      <c r="B81" t="s">
        <v>88</v>
      </c>
      <c r="E81" t="s">
        <v>88</v>
      </c>
      <c r="H81" t="s">
        <v>88</v>
      </c>
      <c r="K81" t="s">
        <v>88</v>
      </c>
      <c r="N81" t="s">
        <v>88</v>
      </c>
      <c r="Q81" t="s">
        <v>88</v>
      </c>
      <c r="T81" t="s">
        <v>88</v>
      </c>
      <c r="W81" t="s">
        <v>88</v>
      </c>
      <c r="Z81" t="s">
        <v>88</v>
      </c>
      <c r="AC81" t="s">
        <v>88</v>
      </c>
    </row>
    <row r="82" spans="2:29" ht="15" customHeight="1" hidden="1">
      <c r="B82" t="s">
        <v>160</v>
      </c>
      <c r="E82" t="s">
        <v>160</v>
      </c>
      <c r="H82" t="s">
        <v>160</v>
      </c>
      <c r="K82" t="s">
        <v>160</v>
      </c>
      <c r="N82" t="s">
        <v>160</v>
      </c>
      <c r="Q82" t="s">
        <v>160</v>
      </c>
      <c r="T82" t="s">
        <v>160</v>
      </c>
      <c r="W82" t="s">
        <v>160</v>
      </c>
      <c r="Z82" t="s">
        <v>160</v>
      </c>
      <c r="AC82" t="s">
        <v>160</v>
      </c>
    </row>
    <row r="83" spans="2:29" ht="15" customHeight="1" hidden="1">
      <c r="B83" t="s">
        <v>99</v>
      </c>
      <c r="E83" t="s">
        <v>99</v>
      </c>
      <c r="H83" t="s">
        <v>99</v>
      </c>
      <c r="K83" t="s">
        <v>99</v>
      </c>
      <c r="N83" t="s">
        <v>99</v>
      </c>
      <c r="Q83" t="s">
        <v>99</v>
      </c>
      <c r="T83" t="s">
        <v>99</v>
      </c>
      <c r="W83" t="s">
        <v>99</v>
      </c>
      <c r="Z83" t="s">
        <v>99</v>
      </c>
      <c r="AC83" t="s">
        <v>99</v>
      </c>
    </row>
    <row r="84" spans="2:29" ht="15" customHeight="1" hidden="1">
      <c r="B84" t="s">
        <v>106</v>
      </c>
      <c r="E84" t="s">
        <v>106</v>
      </c>
      <c r="H84" t="s">
        <v>106</v>
      </c>
      <c r="K84" t="s">
        <v>106</v>
      </c>
      <c r="N84" t="s">
        <v>106</v>
      </c>
      <c r="Q84" t="s">
        <v>106</v>
      </c>
      <c r="T84" t="s">
        <v>106</v>
      </c>
      <c r="W84" t="s">
        <v>106</v>
      </c>
      <c r="Z84" t="s">
        <v>106</v>
      </c>
      <c r="AC84" t="s">
        <v>106</v>
      </c>
    </row>
    <row r="85" spans="2:29" ht="15" customHeight="1" hidden="1">
      <c r="B85" t="s">
        <v>105</v>
      </c>
      <c r="E85" t="s">
        <v>105</v>
      </c>
      <c r="H85" t="s">
        <v>105</v>
      </c>
      <c r="K85" t="s">
        <v>105</v>
      </c>
      <c r="N85" t="s">
        <v>105</v>
      </c>
      <c r="Q85" t="s">
        <v>105</v>
      </c>
      <c r="T85" t="s">
        <v>105</v>
      </c>
      <c r="W85" t="s">
        <v>105</v>
      </c>
      <c r="Z85" t="s">
        <v>105</v>
      </c>
      <c r="AC85" t="s">
        <v>105</v>
      </c>
    </row>
    <row r="86" spans="2:29" ht="15" customHeight="1" hidden="1">
      <c r="B86" t="s">
        <v>94</v>
      </c>
      <c r="E86" t="s">
        <v>94</v>
      </c>
      <c r="H86" t="s">
        <v>94</v>
      </c>
      <c r="K86" t="s">
        <v>94</v>
      </c>
      <c r="N86" t="s">
        <v>94</v>
      </c>
      <c r="Q86" t="s">
        <v>94</v>
      </c>
      <c r="T86" t="s">
        <v>94</v>
      </c>
      <c r="W86" t="s">
        <v>94</v>
      </c>
      <c r="Z86" t="s">
        <v>94</v>
      </c>
      <c r="AC86" t="s">
        <v>94</v>
      </c>
    </row>
    <row r="87" spans="2:29" ht="15" customHeight="1" hidden="1">
      <c r="B87" t="s">
        <v>1</v>
      </c>
      <c r="E87" t="s">
        <v>1</v>
      </c>
      <c r="H87" t="s">
        <v>1</v>
      </c>
      <c r="K87" t="s">
        <v>1</v>
      </c>
      <c r="N87" t="s">
        <v>1</v>
      </c>
      <c r="Q87" t="s">
        <v>1</v>
      </c>
      <c r="T87" t="s">
        <v>1</v>
      </c>
      <c r="W87" t="s">
        <v>1</v>
      </c>
      <c r="Z87" t="s">
        <v>1</v>
      </c>
      <c r="AC87" t="s">
        <v>1</v>
      </c>
    </row>
    <row r="88" spans="2:29" ht="15" customHeight="1" hidden="1">
      <c r="B88" t="s">
        <v>74</v>
      </c>
      <c r="E88" t="s">
        <v>74</v>
      </c>
      <c r="H88" t="s">
        <v>74</v>
      </c>
      <c r="K88" t="s">
        <v>74</v>
      </c>
      <c r="N88" t="s">
        <v>74</v>
      </c>
      <c r="Q88" t="s">
        <v>74</v>
      </c>
      <c r="T88" t="s">
        <v>74</v>
      </c>
      <c r="W88" t="s">
        <v>74</v>
      </c>
      <c r="Z88" t="s">
        <v>74</v>
      </c>
      <c r="AC88" t="s">
        <v>74</v>
      </c>
    </row>
    <row r="89" spans="2:29" ht="15" customHeight="1" hidden="1">
      <c r="B89" t="s">
        <v>89</v>
      </c>
      <c r="E89" t="s">
        <v>89</v>
      </c>
      <c r="H89" t="s">
        <v>89</v>
      </c>
      <c r="K89" t="s">
        <v>89</v>
      </c>
      <c r="N89" t="s">
        <v>89</v>
      </c>
      <c r="Q89" t="s">
        <v>89</v>
      </c>
      <c r="T89" t="s">
        <v>89</v>
      </c>
      <c r="W89" t="s">
        <v>89</v>
      </c>
      <c r="Z89" t="s">
        <v>89</v>
      </c>
      <c r="AC89" t="s">
        <v>89</v>
      </c>
    </row>
    <row r="90" spans="2:29" ht="15" customHeight="1" hidden="1">
      <c r="B90" t="s">
        <v>75</v>
      </c>
      <c r="E90" t="s">
        <v>75</v>
      </c>
      <c r="H90" t="s">
        <v>75</v>
      </c>
      <c r="K90" t="s">
        <v>75</v>
      </c>
      <c r="N90" t="s">
        <v>75</v>
      </c>
      <c r="Q90" t="s">
        <v>75</v>
      </c>
      <c r="T90" t="s">
        <v>75</v>
      </c>
      <c r="W90" t="s">
        <v>75</v>
      </c>
      <c r="Z90" t="s">
        <v>75</v>
      </c>
      <c r="AC90" t="s">
        <v>75</v>
      </c>
    </row>
    <row r="91" spans="2:29" ht="15" customHeight="1" hidden="1">
      <c r="B91" t="s">
        <v>100</v>
      </c>
      <c r="E91" t="s">
        <v>100</v>
      </c>
      <c r="H91" t="s">
        <v>100</v>
      </c>
      <c r="K91" t="s">
        <v>100</v>
      </c>
      <c r="N91" t="s">
        <v>100</v>
      </c>
      <c r="Q91" t="s">
        <v>100</v>
      </c>
      <c r="T91" t="s">
        <v>100</v>
      </c>
      <c r="W91" t="s">
        <v>100</v>
      </c>
      <c r="Z91" t="s">
        <v>100</v>
      </c>
      <c r="AC91" t="s">
        <v>100</v>
      </c>
    </row>
    <row r="92" spans="2:29" ht="15" customHeight="1" hidden="1">
      <c r="B92" t="s">
        <v>65</v>
      </c>
      <c r="E92" t="s">
        <v>65</v>
      </c>
      <c r="H92" t="s">
        <v>65</v>
      </c>
      <c r="K92" t="s">
        <v>65</v>
      </c>
      <c r="N92" t="s">
        <v>65</v>
      </c>
      <c r="Q92" t="s">
        <v>65</v>
      </c>
      <c r="T92" t="s">
        <v>65</v>
      </c>
      <c r="W92" t="s">
        <v>65</v>
      </c>
      <c r="Z92" t="s">
        <v>65</v>
      </c>
      <c r="AC92" t="s">
        <v>65</v>
      </c>
    </row>
    <row r="93" spans="2:29" ht="15" customHeight="1" hidden="1">
      <c r="B93" t="s">
        <v>101</v>
      </c>
      <c r="E93" t="s">
        <v>101</v>
      </c>
      <c r="H93" t="s">
        <v>101</v>
      </c>
      <c r="K93" t="s">
        <v>101</v>
      </c>
      <c r="N93" t="s">
        <v>101</v>
      </c>
      <c r="Q93" t="s">
        <v>101</v>
      </c>
      <c r="T93" t="s">
        <v>101</v>
      </c>
      <c r="W93" t="s">
        <v>101</v>
      </c>
      <c r="Z93" t="s">
        <v>101</v>
      </c>
      <c r="AC93" t="s">
        <v>101</v>
      </c>
    </row>
    <row r="94" spans="1:29" ht="15" customHeight="1" hidden="1">
      <c r="A94" s="73"/>
      <c r="B94" t="s">
        <v>103</v>
      </c>
      <c r="E94" t="s">
        <v>103</v>
      </c>
      <c r="H94" t="s">
        <v>103</v>
      </c>
      <c r="K94" t="s">
        <v>103</v>
      </c>
      <c r="N94" t="s">
        <v>103</v>
      </c>
      <c r="Q94" t="s">
        <v>103</v>
      </c>
      <c r="T94" t="s">
        <v>103</v>
      </c>
      <c r="W94" t="s">
        <v>103</v>
      </c>
      <c r="Z94" t="s">
        <v>103</v>
      </c>
      <c r="AC94" t="s">
        <v>103</v>
      </c>
    </row>
    <row r="95" spans="1:31" s="52" customFormat="1" ht="15">
      <c r="A95" s="50" t="s">
        <v>173</v>
      </c>
      <c r="B95" s="51" t="s">
        <v>159</v>
      </c>
      <c r="C95" s="52" t="s">
        <v>158</v>
      </c>
      <c r="D95" s="53" t="s">
        <v>20</v>
      </c>
      <c r="E95" s="51" t="s">
        <v>159</v>
      </c>
      <c r="F95" s="52" t="s">
        <v>158</v>
      </c>
      <c r="G95" s="53" t="s">
        <v>20</v>
      </c>
      <c r="H95" s="51" t="s">
        <v>159</v>
      </c>
      <c r="I95" s="52" t="s">
        <v>158</v>
      </c>
      <c r="J95" s="53" t="s">
        <v>20</v>
      </c>
      <c r="K95" s="51" t="s">
        <v>159</v>
      </c>
      <c r="L95" s="52" t="s">
        <v>158</v>
      </c>
      <c r="M95" s="53" t="s">
        <v>20</v>
      </c>
      <c r="N95" s="51" t="s">
        <v>159</v>
      </c>
      <c r="O95" s="52" t="s">
        <v>158</v>
      </c>
      <c r="P95" s="53" t="s">
        <v>20</v>
      </c>
      <c r="Q95" s="51" t="s">
        <v>159</v>
      </c>
      <c r="R95" s="52" t="s">
        <v>158</v>
      </c>
      <c r="S95" s="53" t="s">
        <v>20</v>
      </c>
      <c r="T95" s="51" t="s">
        <v>159</v>
      </c>
      <c r="U95" s="52" t="s">
        <v>158</v>
      </c>
      <c r="V95" s="53" t="s">
        <v>20</v>
      </c>
      <c r="W95" s="51" t="s">
        <v>159</v>
      </c>
      <c r="X95" s="52" t="s">
        <v>158</v>
      </c>
      <c r="Y95" s="53" t="s">
        <v>20</v>
      </c>
      <c r="Z95" s="51" t="s">
        <v>159</v>
      </c>
      <c r="AA95" s="52" t="s">
        <v>158</v>
      </c>
      <c r="AB95" s="53" t="s">
        <v>20</v>
      </c>
      <c r="AC95" s="51" t="s">
        <v>159</v>
      </c>
      <c r="AD95" s="52" t="s">
        <v>158</v>
      </c>
      <c r="AE95" s="53" t="s">
        <v>20</v>
      </c>
    </row>
    <row r="96" spans="1:31" ht="15">
      <c r="A96" s="41" t="s">
        <v>121</v>
      </c>
      <c r="B96" s="42" t="s">
        <v>63</v>
      </c>
      <c r="C96" s="3">
        <v>100</v>
      </c>
      <c r="D96" s="12"/>
      <c r="E96" s="42" t="s">
        <v>88</v>
      </c>
      <c r="F96" s="3">
        <v>100</v>
      </c>
      <c r="G96" s="12"/>
      <c r="H96" s="42" t="s">
        <v>94</v>
      </c>
      <c r="I96" s="3">
        <v>100</v>
      </c>
      <c r="J96" s="12"/>
      <c r="K96" s="42" t="s">
        <v>1</v>
      </c>
      <c r="L96" s="3">
        <v>100</v>
      </c>
      <c r="M96" s="12"/>
      <c r="N96" s="42" t="s">
        <v>156</v>
      </c>
      <c r="O96" s="3"/>
      <c r="P96" s="12"/>
      <c r="Q96" s="42" t="s">
        <v>156</v>
      </c>
      <c r="R96" s="3"/>
      <c r="S96" s="12"/>
      <c r="T96" s="42" t="s">
        <v>156</v>
      </c>
      <c r="U96" s="3"/>
      <c r="V96" s="12"/>
      <c r="W96" s="42" t="s">
        <v>156</v>
      </c>
      <c r="X96" s="3"/>
      <c r="Y96" s="12"/>
      <c r="Z96" s="42" t="s">
        <v>156</v>
      </c>
      <c r="AA96" s="3"/>
      <c r="AB96" s="12"/>
      <c r="AC96" s="42" t="s">
        <v>156</v>
      </c>
      <c r="AD96" s="3"/>
      <c r="AE96" s="12"/>
    </row>
    <row r="97" spans="1:34" s="49" customFormat="1" ht="15">
      <c r="A97" s="45" t="s">
        <v>122</v>
      </c>
      <c r="B97" s="46" t="s">
        <v>104</v>
      </c>
      <c r="C97" s="47">
        <v>150</v>
      </c>
      <c r="D97" s="48"/>
      <c r="E97" s="46" t="s">
        <v>94</v>
      </c>
      <c r="F97" s="47">
        <v>150</v>
      </c>
      <c r="G97" s="48"/>
      <c r="H97" s="46" t="s">
        <v>156</v>
      </c>
      <c r="I97" s="47"/>
      <c r="J97" s="48"/>
      <c r="K97" s="46" t="s">
        <v>156</v>
      </c>
      <c r="L97" s="47"/>
      <c r="M97" s="48"/>
      <c r="N97" s="46" t="s">
        <v>156</v>
      </c>
      <c r="O97" s="47"/>
      <c r="P97" s="48"/>
      <c r="Q97" s="46" t="s">
        <v>156</v>
      </c>
      <c r="R97" s="47"/>
      <c r="S97" s="48"/>
      <c r="T97" s="46" t="s">
        <v>156</v>
      </c>
      <c r="U97" s="47"/>
      <c r="V97" s="48"/>
      <c r="W97" s="46" t="s">
        <v>156</v>
      </c>
      <c r="X97" s="47"/>
      <c r="Y97" s="48"/>
      <c r="Z97" s="46" t="s">
        <v>156</v>
      </c>
      <c r="AA97" s="47"/>
      <c r="AB97" s="48"/>
      <c r="AC97" s="46" t="s">
        <v>156</v>
      </c>
      <c r="AD97" s="47"/>
      <c r="AE97" s="48"/>
      <c r="AF97" s="46"/>
      <c r="AG97" s="47"/>
      <c r="AH97" s="47"/>
    </row>
    <row r="98" spans="1:31" ht="15">
      <c r="A98" s="41" t="s">
        <v>124</v>
      </c>
      <c r="B98" s="42" t="s">
        <v>74</v>
      </c>
      <c r="C98" s="3">
        <v>90</v>
      </c>
      <c r="D98" s="12">
        <v>65</v>
      </c>
      <c r="E98" s="42" t="s">
        <v>63</v>
      </c>
      <c r="F98" s="3">
        <v>90</v>
      </c>
      <c r="G98" s="12"/>
      <c r="H98" s="42" t="s">
        <v>105</v>
      </c>
      <c r="I98" s="3">
        <v>2400</v>
      </c>
      <c r="J98" s="12"/>
      <c r="K98" s="42" t="s">
        <v>156</v>
      </c>
      <c r="L98" s="3"/>
      <c r="M98" s="12"/>
      <c r="N98" s="42" t="s">
        <v>156</v>
      </c>
      <c r="O98" s="3"/>
      <c r="P98" s="12"/>
      <c r="Q98" s="42" t="s">
        <v>156</v>
      </c>
      <c r="R98" s="3"/>
      <c r="S98" s="12"/>
      <c r="T98" s="42" t="s">
        <v>156</v>
      </c>
      <c r="U98" s="3"/>
      <c r="V98" s="12"/>
      <c r="W98" s="42" t="s">
        <v>156</v>
      </c>
      <c r="X98" s="3"/>
      <c r="Y98" s="12"/>
      <c r="Z98" s="42" t="s">
        <v>156</v>
      </c>
      <c r="AA98" s="3"/>
      <c r="AB98" s="12"/>
      <c r="AC98" s="42" t="s">
        <v>156</v>
      </c>
      <c r="AD98" s="3"/>
      <c r="AE98" s="12"/>
    </row>
    <row r="99" spans="1:31" s="49" customFormat="1" ht="15">
      <c r="A99" s="45" t="s">
        <v>123</v>
      </c>
      <c r="B99" s="46" t="s">
        <v>63</v>
      </c>
      <c r="C99" s="47">
        <v>100</v>
      </c>
      <c r="D99" s="48"/>
      <c r="E99" s="46" t="s">
        <v>88</v>
      </c>
      <c r="F99" s="47">
        <v>150</v>
      </c>
      <c r="G99" s="48"/>
      <c r="H99" s="46" t="s">
        <v>94</v>
      </c>
      <c r="I99" s="47">
        <v>200</v>
      </c>
      <c r="J99" s="48"/>
      <c r="K99" s="46" t="s">
        <v>1</v>
      </c>
      <c r="L99" s="47">
        <v>250</v>
      </c>
      <c r="M99" s="48"/>
      <c r="N99" s="46" t="s">
        <v>156</v>
      </c>
      <c r="O99" s="47"/>
      <c r="P99" s="48"/>
      <c r="Q99" s="46" t="s">
        <v>156</v>
      </c>
      <c r="R99" s="47"/>
      <c r="S99" s="48"/>
      <c r="T99" s="46" t="s">
        <v>156</v>
      </c>
      <c r="U99" s="47"/>
      <c r="V99" s="48"/>
      <c r="W99" s="46" t="s">
        <v>156</v>
      </c>
      <c r="X99" s="47"/>
      <c r="Y99" s="48"/>
      <c r="Z99" s="46" t="s">
        <v>156</v>
      </c>
      <c r="AA99" s="47"/>
      <c r="AB99" s="48"/>
      <c r="AC99" s="46" t="s">
        <v>156</v>
      </c>
      <c r="AD99" s="47"/>
      <c r="AE99" s="48"/>
    </row>
    <row r="100" spans="1:31" ht="15">
      <c r="A100" s="41" t="s">
        <v>145</v>
      </c>
      <c r="B100" s="42" t="s">
        <v>63</v>
      </c>
      <c r="C100" s="44">
        <v>100</v>
      </c>
      <c r="D100" s="12"/>
      <c r="E100" s="42" t="s">
        <v>105</v>
      </c>
      <c r="F100" s="44">
        <v>1600</v>
      </c>
      <c r="G100" s="12"/>
      <c r="H100" s="42" t="s">
        <v>65</v>
      </c>
      <c r="I100" s="3">
        <v>42</v>
      </c>
      <c r="J100" s="12">
        <v>65</v>
      </c>
      <c r="K100" s="42" t="s">
        <v>156</v>
      </c>
      <c r="L100" s="3"/>
      <c r="M100" s="12"/>
      <c r="N100" s="42" t="s">
        <v>156</v>
      </c>
      <c r="O100" s="3"/>
      <c r="P100" s="12"/>
      <c r="Q100" s="42" t="s">
        <v>156</v>
      </c>
      <c r="R100" s="3"/>
      <c r="S100" s="12"/>
      <c r="T100" s="42" t="s">
        <v>156</v>
      </c>
      <c r="U100" s="3"/>
      <c r="V100" s="12"/>
      <c r="W100" s="42" t="s">
        <v>156</v>
      </c>
      <c r="X100" s="3"/>
      <c r="Y100" s="12"/>
      <c r="Z100" s="42" t="s">
        <v>156</v>
      </c>
      <c r="AA100" s="3"/>
      <c r="AB100" s="12"/>
      <c r="AC100" s="42" t="s">
        <v>156</v>
      </c>
      <c r="AD100" s="3"/>
      <c r="AE100" s="12"/>
    </row>
    <row r="101" spans="1:31" s="49" customFormat="1" ht="15">
      <c r="A101" s="45" t="s">
        <v>127</v>
      </c>
      <c r="B101" s="46" t="s">
        <v>2</v>
      </c>
      <c r="C101" s="47">
        <v>45</v>
      </c>
      <c r="D101" s="48">
        <v>155</v>
      </c>
      <c r="E101" s="46" t="s">
        <v>95</v>
      </c>
      <c r="F101" s="47">
        <v>45</v>
      </c>
      <c r="G101" s="48"/>
      <c r="H101" s="46" t="s">
        <v>156</v>
      </c>
      <c r="I101" s="47"/>
      <c r="J101" s="48"/>
      <c r="K101" s="46" t="s">
        <v>156</v>
      </c>
      <c r="L101" s="47"/>
      <c r="M101" s="48"/>
      <c r="N101" s="46" t="s">
        <v>156</v>
      </c>
      <c r="O101" s="47"/>
      <c r="P101" s="48"/>
      <c r="Q101" s="46" t="s">
        <v>156</v>
      </c>
      <c r="R101" s="47"/>
      <c r="S101" s="48"/>
      <c r="T101" s="46" t="s">
        <v>156</v>
      </c>
      <c r="U101" s="47"/>
      <c r="V101" s="48"/>
      <c r="W101" s="46" t="s">
        <v>156</v>
      </c>
      <c r="X101" s="47"/>
      <c r="Y101" s="48"/>
      <c r="Z101" s="46" t="s">
        <v>156</v>
      </c>
      <c r="AA101" s="47"/>
      <c r="AB101" s="48"/>
      <c r="AC101" s="46" t="s">
        <v>156</v>
      </c>
      <c r="AD101" s="47"/>
      <c r="AE101" s="48"/>
    </row>
    <row r="102" spans="1:31" ht="15">
      <c r="A102" s="41" t="s">
        <v>128</v>
      </c>
      <c r="B102" s="42" t="s">
        <v>4</v>
      </c>
      <c r="C102" s="3">
        <v>45</v>
      </c>
      <c r="D102" s="12">
        <v>85</v>
      </c>
      <c r="E102" s="42" t="s">
        <v>160</v>
      </c>
      <c r="F102" s="3">
        <v>45</v>
      </c>
      <c r="G102" s="12"/>
      <c r="H102" s="42" t="s">
        <v>156</v>
      </c>
      <c r="I102" s="3"/>
      <c r="J102" s="12"/>
      <c r="K102" s="42" t="s">
        <v>156</v>
      </c>
      <c r="L102" s="3"/>
      <c r="M102" s="12"/>
      <c r="N102" s="42" t="s">
        <v>156</v>
      </c>
      <c r="O102" s="3"/>
      <c r="P102" s="12"/>
      <c r="Q102" s="42" t="s">
        <v>156</v>
      </c>
      <c r="R102" s="3"/>
      <c r="S102" s="12"/>
      <c r="T102" s="42" t="s">
        <v>156</v>
      </c>
      <c r="U102" s="3"/>
      <c r="V102" s="12"/>
      <c r="W102" s="42" t="s">
        <v>156</v>
      </c>
      <c r="X102" s="3"/>
      <c r="Y102" s="12"/>
      <c r="Z102" s="42" t="s">
        <v>156</v>
      </c>
      <c r="AA102" s="3"/>
      <c r="AB102" s="12"/>
      <c r="AC102" s="42" t="s">
        <v>156</v>
      </c>
      <c r="AD102" s="3"/>
      <c r="AE102" s="12"/>
    </row>
    <row r="103" spans="1:31" s="49" customFormat="1" ht="15">
      <c r="A103" s="45" t="s">
        <v>155</v>
      </c>
      <c r="B103" s="46" t="s">
        <v>4</v>
      </c>
      <c r="C103" s="47">
        <v>75</v>
      </c>
      <c r="D103" s="48">
        <v>50</v>
      </c>
      <c r="E103" s="46" t="s">
        <v>63</v>
      </c>
      <c r="F103" s="47">
        <v>105</v>
      </c>
      <c r="G103" s="48"/>
      <c r="H103" s="46" t="s">
        <v>185</v>
      </c>
      <c r="I103" s="47"/>
      <c r="J103" s="48"/>
      <c r="K103" s="46" t="s">
        <v>156</v>
      </c>
      <c r="L103" s="47"/>
      <c r="M103" s="48"/>
      <c r="N103" s="46" t="s">
        <v>156</v>
      </c>
      <c r="O103" s="47"/>
      <c r="P103" s="48"/>
      <c r="Q103" s="46" t="s">
        <v>156</v>
      </c>
      <c r="R103" s="47"/>
      <c r="S103" s="48"/>
      <c r="T103" s="46" t="s">
        <v>156</v>
      </c>
      <c r="U103" s="47"/>
      <c r="V103" s="48"/>
      <c r="W103" s="46" t="s">
        <v>156</v>
      </c>
      <c r="X103" s="47"/>
      <c r="Y103" s="48"/>
      <c r="Z103" s="46" t="s">
        <v>156</v>
      </c>
      <c r="AA103" s="47"/>
      <c r="AB103" s="48"/>
      <c r="AC103" s="46" t="s">
        <v>156</v>
      </c>
      <c r="AD103" s="47"/>
      <c r="AE103" s="48"/>
    </row>
    <row r="104" spans="1:31" ht="15">
      <c r="A104" s="41" t="s">
        <v>129</v>
      </c>
      <c r="B104" s="42" t="s">
        <v>105</v>
      </c>
      <c r="C104" s="44">
        <v>4000</v>
      </c>
      <c r="D104" s="12"/>
      <c r="E104" s="42" t="s">
        <v>107</v>
      </c>
      <c r="F104" s="44">
        <v>150</v>
      </c>
      <c r="G104" s="12">
        <v>52.9109</v>
      </c>
      <c r="H104" s="42" t="s">
        <v>63</v>
      </c>
      <c r="I104" s="3">
        <v>150</v>
      </c>
      <c r="J104" s="12"/>
      <c r="K104" s="42" t="s">
        <v>156</v>
      </c>
      <c r="L104" s="3"/>
      <c r="M104" s="12"/>
      <c r="N104" s="42" t="s">
        <v>156</v>
      </c>
      <c r="O104" s="3"/>
      <c r="P104" s="12"/>
      <c r="Q104" s="42" t="s">
        <v>156</v>
      </c>
      <c r="R104" s="3"/>
      <c r="S104" s="12"/>
      <c r="T104" s="42" t="s">
        <v>156</v>
      </c>
      <c r="U104" s="3"/>
      <c r="V104" s="12"/>
      <c r="W104" s="42" t="s">
        <v>156</v>
      </c>
      <c r="X104" s="3"/>
      <c r="Y104" s="12"/>
      <c r="Z104" s="42" t="s">
        <v>156</v>
      </c>
      <c r="AA104" s="3"/>
      <c r="AB104" s="12"/>
      <c r="AC104" s="42" t="s">
        <v>156</v>
      </c>
      <c r="AD104" s="3"/>
      <c r="AE104" s="12"/>
    </row>
    <row r="105" spans="1:31" s="49" customFormat="1" ht="15">
      <c r="A105" s="45" t="s">
        <v>130</v>
      </c>
      <c r="B105" s="46" t="s">
        <v>65</v>
      </c>
      <c r="C105" s="47">
        <v>45</v>
      </c>
      <c r="D105" s="48">
        <v>85</v>
      </c>
      <c r="E105" s="46" t="s">
        <v>63</v>
      </c>
      <c r="F105" s="47">
        <v>45</v>
      </c>
      <c r="G105" s="48"/>
      <c r="H105" s="46" t="s">
        <v>156</v>
      </c>
      <c r="I105" s="47"/>
      <c r="J105" s="48"/>
      <c r="K105" s="46" t="s">
        <v>156</v>
      </c>
      <c r="L105" s="47"/>
      <c r="M105" s="48"/>
      <c r="N105" s="46" t="s">
        <v>156</v>
      </c>
      <c r="O105" s="47"/>
      <c r="P105" s="48"/>
      <c r="Q105" s="46" t="s">
        <v>156</v>
      </c>
      <c r="R105" s="47"/>
      <c r="S105" s="48"/>
      <c r="T105" s="46" t="s">
        <v>156</v>
      </c>
      <c r="U105" s="47"/>
      <c r="V105" s="48"/>
      <c r="W105" s="46" t="s">
        <v>156</v>
      </c>
      <c r="X105" s="47"/>
      <c r="Y105" s="48"/>
      <c r="Z105" s="46" t="s">
        <v>156</v>
      </c>
      <c r="AA105" s="47"/>
      <c r="AB105" s="48"/>
      <c r="AC105" s="46" t="s">
        <v>156</v>
      </c>
      <c r="AD105" s="47"/>
      <c r="AE105" s="48"/>
    </row>
    <row r="106" spans="1:31" ht="15">
      <c r="A106" s="41" t="s">
        <v>131</v>
      </c>
      <c r="B106" s="42" t="s">
        <v>157</v>
      </c>
      <c r="C106" s="44">
        <v>30</v>
      </c>
      <c r="D106" s="12">
        <v>85</v>
      </c>
      <c r="E106" s="42" t="s">
        <v>156</v>
      </c>
      <c r="F106" s="3"/>
      <c r="G106" s="12"/>
      <c r="H106" s="42" t="s">
        <v>156</v>
      </c>
      <c r="I106" s="3"/>
      <c r="J106" s="12"/>
      <c r="K106" s="42" t="s">
        <v>156</v>
      </c>
      <c r="L106" s="3"/>
      <c r="M106" s="12"/>
      <c r="N106" s="42" t="s">
        <v>156</v>
      </c>
      <c r="O106" s="3"/>
      <c r="P106" s="12"/>
      <c r="Q106" s="42" t="s">
        <v>156</v>
      </c>
      <c r="R106" s="3"/>
      <c r="S106" s="12"/>
      <c r="T106" s="42" t="s">
        <v>156</v>
      </c>
      <c r="U106" s="3"/>
      <c r="V106" s="12"/>
      <c r="W106" s="42" t="s">
        <v>156</v>
      </c>
      <c r="X106" s="3"/>
      <c r="Y106" s="12"/>
      <c r="Z106" s="42" t="s">
        <v>156</v>
      </c>
      <c r="AA106" s="3"/>
      <c r="AB106" s="12"/>
      <c r="AC106" s="42" t="s">
        <v>156</v>
      </c>
      <c r="AD106" s="3"/>
      <c r="AE106" s="12"/>
    </row>
    <row r="107" spans="1:31" s="49" customFormat="1" ht="15">
      <c r="A107" s="45" t="s">
        <v>153</v>
      </c>
      <c r="B107" s="46" t="s">
        <v>105</v>
      </c>
      <c r="C107" s="47">
        <v>2400</v>
      </c>
      <c r="D107" s="48"/>
      <c r="E107" s="46" t="s">
        <v>156</v>
      </c>
      <c r="F107" s="47"/>
      <c r="G107" s="48"/>
      <c r="H107" s="46" t="s">
        <v>156</v>
      </c>
      <c r="I107" s="47"/>
      <c r="J107" s="48"/>
      <c r="K107" s="46" t="s">
        <v>156</v>
      </c>
      <c r="L107" s="47"/>
      <c r="M107" s="48"/>
      <c r="N107" s="46" t="s">
        <v>156</v>
      </c>
      <c r="O107" s="47"/>
      <c r="P107" s="48"/>
      <c r="Q107" s="46" t="s">
        <v>156</v>
      </c>
      <c r="R107" s="47"/>
      <c r="S107" s="48"/>
      <c r="T107" s="46" t="s">
        <v>156</v>
      </c>
      <c r="U107" s="47"/>
      <c r="V107" s="48"/>
      <c r="W107" s="46" t="s">
        <v>156</v>
      </c>
      <c r="X107" s="47"/>
      <c r="Y107" s="48"/>
      <c r="Z107" s="46" t="s">
        <v>156</v>
      </c>
      <c r="AA107" s="47"/>
      <c r="AB107" s="48"/>
      <c r="AC107" s="46" t="s">
        <v>156</v>
      </c>
      <c r="AD107" s="47"/>
      <c r="AE107" s="48"/>
    </row>
    <row r="108" spans="1:31" ht="15">
      <c r="A108" s="41" t="s">
        <v>132</v>
      </c>
      <c r="B108" s="42" t="s">
        <v>105</v>
      </c>
      <c r="C108" s="44">
        <v>1200</v>
      </c>
      <c r="D108" s="12"/>
      <c r="E108" s="42" t="s">
        <v>107</v>
      </c>
      <c r="F108" s="44">
        <v>63</v>
      </c>
      <c r="G108" s="12">
        <v>35.2739</v>
      </c>
      <c r="H108" s="42" t="s">
        <v>63</v>
      </c>
      <c r="I108" s="3">
        <v>32</v>
      </c>
      <c r="J108" s="12"/>
      <c r="K108" s="42" t="s">
        <v>156</v>
      </c>
      <c r="L108" s="3"/>
      <c r="M108" s="12"/>
      <c r="N108" s="42" t="s">
        <v>156</v>
      </c>
      <c r="O108" s="3"/>
      <c r="P108" s="12"/>
      <c r="Q108" s="42" t="s">
        <v>156</v>
      </c>
      <c r="R108" s="3"/>
      <c r="S108" s="12"/>
      <c r="T108" s="42" t="s">
        <v>156</v>
      </c>
      <c r="U108" s="3"/>
      <c r="V108" s="12"/>
      <c r="W108" s="42" t="s">
        <v>156</v>
      </c>
      <c r="X108" s="3"/>
      <c r="Y108" s="12"/>
      <c r="Z108" s="42" t="s">
        <v>156</v>
      </c>
      <c r="AA108" s="3"/>
      <c r="AB108" s="12"/>
      <c r="AC108" s="42" t="s">
        <v>156</v>
      </c>
      <c r="AD108" s="3"/>
      <c r="AE108" s="12"/>
    </row>
    <row r="109" spans="1:31" s="49" customFormat="1" ht="15">
      <c r="A109" s="45" t="s">
        <v>133</v>
      </c>
      <c r="B109" s="46" t="s">
        <v>5</v>
      </c>
      <c r="C109" s="47">
        <v>30</v>
      </c>
      <c r="D109" s="48">
        <v>85</v>
      </c>
      <c r="E109" s="46" t="s">
        <v>156</v>
      </c>
      <c r="F109" s="47"/>
      <c r="G109" s="48"/>
      <c r="H109" s="46" t="s">
        <v>156</v>
      </c>
      <c r="I109" s="47"/>
      <c r="J109" s="48"/>
      <c r="K109" s="46" t="s">
        <v>156</v>
      </c>
      <c r="L109" s="47"/>
      <c r="M109" s="48"/>
      <c r="N109" s="46" t="s">
        <v>156</v>
      </c>
      <c r="O109" s="47"/>
      <c r="P109" s="48"/>
      <c r="Q109" s="46" t="s">
        <v>156</v>
      </c>
      <c r="R109" s="47"/>
      <c r="S109" s="48"/>
      <c r="T109" s="46" t="s">
        <v>156</v>
      </c>
      <c r="U109" s="47"/>
      <c r="V109" s="48"/>
      <c r="W109" s="46" t="s">
        <v>156</v>
      </c>
      <c r="X109" s="47"/>
      <c r="Y109" s="48"/>
      <c r="Z109" s="46" t="s">
        <v>156</v>
      </c>
      <c r="AA109" s="47"/>
      <c r="AB109" s="48"/>
      <c r="AC109" s="46" t="s">
        <v>156</v>
      </c>
      <c r="AD109" s="47"/>
      <c r="AE109" s="48"/>
    </row>
    <row r="110" spans="1:31" ht="15">
      <c r="A110" s="41" t="s">
        <v>134</v>
      </c>
      <c r="B110" s="42" t="s">
        <v>106</v>
      </c>
      <c r="C110" s="44">
        <v>1000</v>
      </c>
      <c r="D110" s="12"/>
      <c r="E110" s="42" t="s">
        <v>65</v>
      </c>
      <c r="F110" s="3">
        <v>50</v>
      </c>
      <c r="G110" s="12">
        <v>35</v>
      </c>
      <c r="H110" s="42" t="s">
        <v>63</v>
      </c>
      <c r="I110" s="3">
        <v>30</v>
      </c>
      <c r="J110" s="12"/>
      <c r="K110" s="42" t="s">
        <v>156</v>
      </c>
      <c r="L110" s="3"/>
      <c r="M110" s="12"/>
      <c r="N110" s="42" t="s">
        <v>156</v>
      </c>
      <c r="O110" s="3"/>
      <c r="P110" s="12"/>
      <c r="Q110" s="42" t="s">
        <v>156</v>
      </c>
      <c r="R110" s="3"/>
      <c r="S110" s="12"/>
      <c r="T110" s="42" t="s">
        <v>156</v>
      </c>
      <c r="U110" s="3"/>
      <c r="V110" s="12"/>
      <c r="W110" s="42" t="s">
        <v>156</v>
      </c>
      <c r="X110" s="3"/>
      <c r="Y110" s="12"/>
      <c r="Z110" s="42" t="s">
        <v>156</v>
      </c>
      <c r="AA110" s="3"/>
      <c r="AB110" s="12"/>
      <c r="AC110" s="42" t="s">
        <v>156</v>
      </c>
      <c r="AD110" s="3"/>
      <c r="AE110" s="12"/>
    </row>
    <row r="111" spans="1:31" s="49" customFormat="1" ht="15">
      <c r="A111" s="45" t="s">
        <v>146</v>
      </c>
      <c r="B111" s="46" t="s">
        <v>1</v>
      </c>
      <c r="C111" s="47">
        <v>250</v>
      </c>
      <c r="D111" s="48"/>
      <c r="E111" s="46" t="s">
        <v>82</v>
      </c>
      <c r="F111" s="47">
        <v>50</v>
      </c>
      <c r="G111" s="48"/>
      <c r="H111" s="46" t="s">
        <v>156</v>
      </c>
      <c r="I111" s="47"/>
      <c r="J111" s="48"/>
      <c r="K111" s="46" t="s">
        <v>156</v>
      </c>
      <c r="L111" s="47"/>
      <c r="M111" s="48"/>
      <c r="N111" s="46" t="s">
        <v>156</v>
      </c>
      <c r="O111" s="47"/>
      <c r="P111" s="48"/>
      <c r="Q111" s="46" t="s">
        <v>156</v>
      </c>
      <c r="R111" s="47"/>
      <c r="S111" s="48"/>
      <c r="T111" s="46" t="s">
        <v>156</v>
      </c>
      <c r="U111" s="47"/>
      <c r="V111" s="48"/>
      <c r="W111" s="46" t="s">
        <v>156</v>
      </c>
      <c r="X111" s="47"/>
      <c r="Y111" s="48"/>
      <c r="Z111" s="46" t="s">
        <v>156</v>
      </c>
      <c r="AA111" s="47"/>
      <c r="AB111" s="48"/>
      <c r="AC111" s="46" t="s">
        <v>156</v>
      </c>
      <c r="AD111" s="47"/>
      <c r="AE111" s="48"/>
    </row>
    <row r="112" spans="1:31" ht="15">
      <c r="A112" s="41" t="s">
        <v>147</v>
      </c>
      <c r="B112" s="42" t="s">
        <v>6</v>
      </c>
      <c r="C112" s="44">
        <v>45</v>
      </c>
      <c r="D112" s="12">
        <v>65</v>
      </c>
      <c r="E112" s="42" t="s">
        <v>63</v>
      </c>
      <c r="F112" s="44">
        <v>90</v>
      </c>
      <c r="G112" s="12"/>
      <c r="H112" s="42" t="s">
        <v>156</v>
      </c>
      <c r="I112" s="3"/>
      <c r="J112" s="12"/>
      <c r="K112" s="42" t="s">
        <v>156</v>
      </c>
      <c r="L112" s="3"/>
      <c r="M112" s="12"/>
      <c r="N112" s="42" t="s">
        <v>156</v>
      </c>
      <c r="O112" s="3"/>
      <c r="P112" s="12"/>
      <c r="Q112" s="42" t="s">
        <v>156</v>
      </c>
      <c r="R112" s="3"/>
      <c r="S112" s="12"/>
      <c r="T112" s="42" t="s">
        <v>156</v>
      </c>
      <c r="U112" s="3"/>
      <c r="V112" s="12"/>
      <c r="W112" s="42" t="s">
        <v>156</v>
      </c>
      <c r="X112" s="3"/>
      <c r="Y112" s="12"/>
      <c r="Z112" s="42" t="s">
        <v>156</v>
      </c>
      <c r="AA112" s="3"/>
      <c r="AB112" s="12"/>
      <c r="AC112" s="42" t="s">
        <v>156</v>
      </c>
      <c r="AD112" s="3"/>
      <c r="AE112" s="12"/>
    </row>
    <row r="113" spans="1:31" s="49" customFormat="1" ht="15">
      <c r="A113" s="45" t="s">
        <v>148</v>
      </c>
      <c r="B113" s="46" t="s">
        <v>5</v>
      </c>
      <c r="C113" s="47">
        <v>126</v>
      </c>
      <c r="D113" s="48">
        <v>25</v>
      </c>
      <c r="E113" s="46" t="s">
        <v>97</v>
      </c>
      <c r="F113" s="47">
        <v>126</v>
      </c>
      <c r="G113" s="48"/>
      <c r="H113" s="46" t="s">
        <v>186</v>
      </c>
      <c r="I113" s="47"/>
      <c r="J113" s="48"/>
      <c r="K113" s="46" t="s">
        <v>156</v>
      </c>
      <c r="L113" s="47"/>
      <c r="M113" s="48"/>
      <c r="N113" s="46" t="s">
        <v>156</v>
      </c>
      <c r="O113" s="47"/>
      <c r="P113" s="48"/>
      <c r="Q113" s="46" t="s">
        <v>156</v>
      </c>
      <c r="R113" s="47"/>
      <c r="S113" s="48"/>
      <c r="T113" s="46" t="s">
        <v>156</v>
      </c>
      <c r="U113" s="47"/>
      <c r="V113" s="48"/>
      <c r="W113" s="46" t="s">
        <v>156</v>
      </c>
      <c r="X113" s="47"/>
      <c r="Y113" s="48"/>
      <c r="Z113" s="46" t="s">
        <v>156</v>
      </c>
      <c r="AA113" s="47"/>
      <c r="AB113" s="48"/>
      <c r="AC113" s="46" t="s">
        <v>156</v>
      </c>
      <c r="AD113" s="47"/>
      <c r="AE113" s="48"/>
    </row>
    <row r="114" spans="1:31" ht="15">
      <c r="A114" s="41" t="s">
        <v>142</v>
      </c>
      <c r="B114" s="42" t="s">
        <v>95</v>
      </c>
      <c r="C114" s="44">
        <v>45</v>
      </c>
      <c r="D114" s="12"/>
      <c r="E114" s="42" t="s">
        <v>160</v>
      </c>
      <c r="F114" s="44">
        <v>45</v>
      </c>
      <c r="G114" s="12"/>
      <c r="H114" s="42" t="s">
        <v>88</v>
      </c>
      <c r="I114" s="3">
        <v>45</v>
      </c>
      <c r="J114" s="12"/>
      <c r="K114" s="42" t="s">
        <v>156</v>
      </c>
      <c r="L114" s="3"/>
      <c r="M114" s="12"/>
      <c r="N114" s="42" t="s">
        <v>156</v>
      </c>
      <c r="O114" s="3"/>
      <c r="P114" s="12"/>
      <c r="Q114" s="42" t="s">
        <v>156</v>
      </c>
      <c r="R114" s="3"/>
      <c r="S114" s="12"/>
      <c r="T114" s="42" t="s">
        <v>156</v>
      </c>
      <c r="U114" s="3"/>
      <c r="V114" s="12"/>
      <c r="W114" s="42" t="s">
        <v>156</v>
      </c>
      <c r="X114" s="3"/>
      <c r="Y114" s="12"/>
      <c r="Z114" s="42" t="s">
        <v>156</v>
      </c>
      <c r="AA114" s="3"/>
      <c r="AB114" s="12"/>
      <c r="AC114" s="42" t="s">
        <v>156</v>
      </c>
      <c r="AD114" s="3"/>
      <c r="AE114" s="12"/>
    </row>
    <row r="115" spans="1:31" s="49" customFormat="1" ht="15">
      <c r="A115" s="45" t="s">
        <v>135</v>
      </c>
      <c r="B115" s="46" t="s">
        <v>101</v>
      </c>
      <c r="C115" s="47">
        <v>150</v>
      </c>
      <c r="D115" s="48">
        <v>15</v>
      </c>
      <c r="E115" s="46" t="s">
        <v>156</v>
      </c>
      <c r="F115" s="47"/>
      <c r="G115" s="48"/>
      <c r="H115" s="46" t="s">
        <v>156</v>
      </c>
      <c r="I115" s="47"/>
      <c r="J115" s="48"/>
      <c r="K115" s="46" t="s">
        <v>156</v>
      </c>
      <c r="L115" s="47"/>
      <c r="M115" s="48"/>
      <c r="N115" s="46" t="s">
        <v>156</v>
      </c>
      <c r="O115" s="47"/>
      <c r="P115" s="48"/>
      <c r="Q115" s="46" t="s">
        <v>156</v>
      </c>
      <c r="R115" s="47"/>
      <c r="S115" s="48"/>
      <c r="T115" s="46" t="s">
        <v>156</v>
      </c>
      <c r="U115" s="47"/>
      <c r="V115" s="48"/>
      <c r="W115" s="46" t="s">
        <v>156</v>
      </c>
      <c r="X115" s="47"/>
      <c r="Y115" s="48"/>
      <c r="Z115" s="46" t="s">
        <v>156</v>
      </c>
      <c r="AA115" s="47"/>
      <c r="AB115" s="48"/>
      <c r="AC115" s="46" t="s">
        <v>156</v>
      </c>
      <c r="AD115" s="47"/>
      <c r="AE115" s="48"/>
    </row>
    <row r="116" spans="1:31" ht="15">
      <c r="A116" s="41" t="s">
        <v>136</v>
      </c>
      <c r="B116" s="42" t="s">
        <v>105</v>
      </c>
      <c r="C116" s="44">
        <v>2400</v>
      </c>
      <c r="D116" s="12"/>
      <c r="E116" s="42" t="s">
        <v>62</v>
      </c>
      <c r="F116" s="44">
        <v>150</v>
      </c>
      <c r="G116" s="12"/>
      <c r="H116" s="42" t="s">
        <v>101</v>
      </c>
      <c r="I116" s="3">
        <v>150</v>
      </c>
      <c r="J116" s="12">
        <v>15</v>
      </c>
      <c r="K116" s="42" t="s">
        <v>156</v>
      </c>
      <c r="L116" s="3"/>
      <c r="M116" s="12"/>
      <c r="N116" s="42" t="s">
        <v>156</v>
      </c>
      <c r="O116" s="3"/>
      <c r="P116" s="12"/>
      <c r="Q116" s="42" t="s">
        <v>156</v>
      </c>
      <c r="R116" s="3"/>
      <c r="S116" s="12"/>
      <c r="T116" s="42" t="s">
        <v>156</v>
      </c>
      <c r="U116" s="3"/>
      <c r="V116" s="12"/>
      <c r="W116" s="42" t="s">
        <v>156</v>
      </c>
      <c r="X116" s="3"/>
      <c r="Y116" s="12"/>
      <c r="Z116" s="42" t="s">
        <v>156</v>
      </c>
      <c r="AA116" s="3"/>
      <c r="AB116" s="12"/>
      <c r="AC116" s="42" t="s">
        <v>156</v>
      </c>
      <c r="AD116" s="3"/>
      <c r="AE116" s="12"/>
    </row>
    <row r="117" spans="1:31" s="49" customFormat="1" ht="15">
      <c r="A117" s="45" t="s">
        <v>137</v>
      </c>
      <c r="B117" s="46" t="s">
        <v>2</v>
      </c>
      <c r="C117" s="47">
        <v>55</v>
      </c>
      <c r="D117" s="48">
        <f>1.5*Anthropometry!B2</f>
        <v>187.5</v>
      </c>
      <c r="E117" s="46" t="s">
        <v>161</v>
      </c>
      <c r="F117" s="47">
        <v>55</v>
      </c>
      <c r="G117" s="48">
        <f>Anthropometry!B2</f>
        <v>125</v>
      </c>
      <c r="H117" s="46" t="s">
        <v>4</v>
      </c>
      <c r="I117" s="47">
        <v>55</v>
      </c>
      <c r="J117" s="48">
        <f>0.75*Anthropometry!B2</f>
        <v>93.75</v>
      </c>
      <c r="K117" s="46" t="s">
        <v>156</v>
      </c>
      <c r="L117" s="47"/>
      <c r="M117" s="48"/>
      <c r="N117" s="46" t="s">
        <v>156</v>
      </c>
      <c r="O117" s="47"/>
      <c r="P117" s="48"/>
      <c r="Q117" s="46" t="s">
        <v>156</v>
      </c>
      <c r="R117" s="47"/>
      <c r="S117" s="48"/>
      <c r="T117" s="46" t="s">
        <v>156</v>
      </c>
      <c r="U117" s="47"/>
      <c r="V117" s="48"/>
      <c r="W117" s="46" t="s">
        <v>156</v>
      </c>
      <c r="X117" s="47"/>
      <c r="Y117" s="48"/>
      <c r="Z117" s="46" t="s">
        <v>156</v>
      </c>
      <c r="AA117" s="47"/>
      <c r="AB117" s="48"/>
      <c r="AC117" s="46" t="s">
        <v>156</v>
      </c>
      <c r="AD117" s="47"/>
      <c r="AE117" s="48"/>
    </row>
    <row r="118" spans="1:31" ht="15">
      <c r="A118" s="41" t="s">
        <v>138</v>
      </c>
      <c r="B118" s="42" t="s">
        <v>176</v>
      </c>
      <c r="C118" s="3"/>
      <c r="D118" s="12"/>
      <c r="E118" s="42" t="s">
        <v>177</v>
      </c>
      <c r="F118" s="3"/>
      <c r="G118" s="12"/>
      <c r="H118" s="42" t="s">
        <v>156</v>
      </c>
      <c r="I118" s="3"/>
      <c r="J118" s="12"/>
      <c r="K118" s="42" t="s">
        <v>156</v>
      </c>
      <c r="L118" s="3"/>
      <c r="M118" s="12"/>
      <c r="N118" s="42" t="s">
        <v>156</v>
      </c>
      <c r="O118" s="3"/>
      <c r="P118" s="12"/>
      <c r="Q118" s="42" t="s">
        <v>156</v>
      </c>
      <c r="R118" s="3"/>
      <c r="S118" s="12"/>
      <c r="T118" s="42" t="s">
        <v>156</v>
      </c>
      <c r="U118" s="3"/>
      <c r="V118" s="12"/>
      <c r="W118" s="42" t="s">
        <v>156</v>
      </c>
      <c r="X118" s="3"/>
      <c r="Y118" s="12"/>
      <c r="Z118" s="42" t="s">
        <v>156</v>
      </c>
      <c r="AA118" s="3"/>
      <c r="AB118" s="12"/>
      <c r="AC118" s="42" t="s">
        <v>156</v>
      </c>
      <c r="AD118" s="3"/>
      <c r="AE118" s="12"/>
    </row>
    <row r="119" spans="1:31" s="49" customFormat="1" ht="15">
      <c r="A119" s="45" t="s">
        <v>143</v>
      </c>
      <c r="B119" s="46" t="s">
        <v>105</v>
      </c>
      <c r="C119" s="47">
        <v>2400</v>
      </c>
      <c r="D119" s="48"/>
      <c r="E119" s="46" t="s">
        <v>84</v>
      </c>
      <c r="F119" s="47">
        <v>150</v>
      </c>
      <c r="G119" s="48"/>
      <c r="H119" s="46" t="s">
        <v>94</v>
      </c>
      <c r="I119" s="47">
        <v>150</v>
      </c>
      <c r="J119" s="48"/>
      <c r="K119" s="46" t="s">
        <v>156</v>
      </c>
      <c r="L119" s="47"/>
      <c r="M119" s="48"/>
      <c r="N119" s="46" t="s">
        <v>156</v>
      </c>
      <c r="O119" s="47"/>
      <c r="P119" s="48"/>
      <c r="Q119" s="46" t="s">
        <v>156</v>
      </c>
      <c r="R119" s="47"/>
      <c r="S119" s="48"/>
      <c r="T119" s="46" t="s">
        <v>156</v>
      </c>
      <c r="U119" s="47"/>
      <c r="V119" s="48"/>
      <c r="W119" s="46" t="s">
        <v>156</v>
      </c>
      <c r="X119" s="47"/>
      <c r="Y119" s="48"/>
      <c r="Z119" s="46" t="s">
        <v>156</v>
      </c>
      <c r="AA119" s="47"/>
      <c r="AB119" s="48"/>
      <c r="AC119" s="46" t="s">
        <v>156</v>
      </c>
      <c r="AD119" s="47"/>
      <c r="AE119" s="48"/>
    </row>
    <row r="120" spans="1:31" s="82" customFormat="1" ht="15">
      <c r="A120" s="81" t="s">
        <v>154</v>
      </c>
      <c r="B120" s="11" t="s">
        <v>105</v>
      </c>
      <c r="C120" s="44">
        <v>2000</v>
      </c>
      <c r="D120" s="14"/>
      <c r="E120" s="11" t="s">
        <v>93</v>
      </c>
      <c r="F120" s="44">
        <v>150</v>
      </c>
      <c r="G120" s="14"/>
      <c r="H120" s="11" t="s">
        <v>2</v>
      </c>
      <c r="I120" s="44">
        <v>75</v>
      </c>
      <c r="J120" s="14">
        <v>175</v>
      </c>
      <c r="K120" s="11" t="s">
        <v>156</v>
      </c>
      <c r="L120" s="44"/>
      <c r="M120" s="14"/>
      <c r="N120" s="11" t="s">
        <v>156</v>
      </c>
      <c r="O120" s="44"/>
      <c r="P120" s="14"/>
      <c r="Q120" s="11" t="s">
        <v>156</v>
      </c>
      <c r="R120" s="44"/>
      <c r="S120" s="14"/>
      <c r="T120" s="11" t="s">
        <v>156</v>
      </c>
      <c r="U120" s="44"/>
      <c r="V120" s="14"/>
      <c r="W120" s="11" t="s">
        <v>156</v>
      </c>
      <c r="X120" s="44"/>
      <c r="Y120" s="14"/>
      <c r="Z120" s="11" t="s">
        <v>156</v>
      </c>
      <c r="AA120" s="44"/>
      <c r="AB120" s="14"/>
      <c r="AC120" s="11" t="s">
        <v>156</v>
      </c>
      <c r="AD120" s="44"/>
      <c r="AE120" s="14"/>
    </row>
    <row r="121" spans="1:31" s="49" customFormat="1" ht="15">
      <c r="A121" s="45" t="s">
        <v>144</v>
      </c>
      <c r="B121" s="46" t="s">
        <v>105</v>
      </c>
      <c r="C121" s="47">
        <v>3200</v>
      </c>
      <c r="D121" s="48"/>
      <c r="E121" s="46" t="s">
        <v>63</v>
      </c>
      <c r="F121" s="47">
        <v>100</v>
      </c>
      <c r="G121" s="48"/>
      <c r="H121" s="46" t="s">
        <v>88</v>
      </c>
      <c r="I121" s="47">
        <v>200</v>
      </c>
      <c r="J121" s="48"/>
      <c r="K121" s="46" t="s">
        <v>1</v>
      </c>
      <c r="L121" s="47">
        <v>300</v>
      </c>
      <c r="M121" s="48"/>
      <c r="N121" s="46" t="s">
        <v>156</v>
      </c>
      <c r="O121" s="47"/>
      <c r="P121" s="48"/>
      <c r="Q121" s="46" t="s">
        <v>156</v>
      </c>
      <c r="R121" s="47"/>
      <c r="S121" s="48"/>
      <c r="T121" s="46" t="s">
        <v>156</v>
      </c>
      <c r="U121" s="47"/>
      <c r="V121" s="48"/>
      <c r="W121" s="46" t="s">
        <v>156</v>
      </c>
      <c r="X121" s="47"/>
      <c r="Y121" s="48"/>
      <c r="Z121" s="46" t="s">
        <v>156</v>
      </c>
      <c r="AA121" s="47"/>
      <c r="AB121" s="48"/>
      <c r="AC121" s="46" t="s">
        <v>156</v>
      </c>
      <c r="AD121" s="47"/>
      <c r="AE121" s="48"/>
    </row>
    <row r="122" spans="1:31" s="82" customFormat="1" ht="15">
      <c r="A122" s="81" t="s">
        <v>140</v>
      </c>
      <c r="B122" s="11" t="s">
        <v>105</v>
      </c>
      <c r="C122" s="44">
        <v>2000</v>
      </c>
      <c r="D122" s="14"/>
      <c r="E122" s="11" t="s">
        <v>6</v>
      </c>
      <c r="F122" s="44">
        <v>75</v>
      </c>
      <c r="G122" s="14">
        <v>65</v>
      </c>
      <c r="H122" s="11" t="s">
        <v>156</v>
      </c>
      <c r="I122" s="44"/>
      <c r="J122" s="14"/>
      <c r="K122" s="11" t="s">
        <v>156</v>
      </c>
      <c r="L122" s="44"/>
      <c r="M122" s="14"/>
      <c r="N122" s="11" t="s">
        <v>156</v>
      </c>
      <c r="O122" s="44"/>
      <c r="P122" s="14"/>
      <c r="Q122" s="11" t="s">
        <v>156</v>
      </c>
      <c r="R122" s="44"/>
      <c r="S122" s="14"/>
      <c r="T122" s="11" t="s">
        <v>156</v>
      </c>
      <c r="U122" s="44"/>
      <c r="V122" s="14"/>
      <c r="W122" s="11" t="s">
        <v>156</v>
      </c>
      <c r="X122" s="44"/>
      <c r="Y122" s="14"/>
      <c r="Z122" s="11" t="s">
        <v>156</v>
      </c>
      <c r="AA122" s="44"/>
      <c r="AB122" s="14"/>
      <c r="AC122" s="11" t="s">
        <v>156</v>
      </c>
      <c r="AD122" s="44"/>
      <c r="AE122" s="14"/>
    </row>
    <row r="123" spans="1:31" s="49" customFormat="1" ht="15">
      <c r="A123" s="45" t="s">
        <v>150</v>
      </c>
      <c r="B123" s="46" t="s">
        <v>5</v>
      </c>
      <c r="C123" s="47">
        <v>75</v>
      </c>
      <c r="D123" s="48">
        <v>60</v>
      </c>
      <c r="E123" s="46" t="s">
        <v>156</v>
      </c>
      <c r="F123" s="47"/>
      <c r="G123" s="48"/>
      <c r="H123" s="46" t="s">
        <v>156</v>
      </c>
      <c r="I123" s="47"/>
      <c r="J123" s="48"/>
      <c r="K123" s="46" t="s">
        <v>156</v>
      </c>
      <c r="L123" s="47"/>
      <c r="M123" s="48"/>
      <c r="N123" s="46" t="s">
        <v>156</v>
      </c>
      <c r="O123" s="47"/>
      <c r="P123" s="48"/>
      <c r="Q123" s="46" t="s">
        <v>156</v>
      </c>
      <c r="R123" s="47"/>
      <c r="S123" s="48"/>
      <c r="T123" s="46" t="s">
        <v>156</v>
      </c>
      <c r="U123" s="47"/>
      <c r="V123" s="48"/>
      <c r="W123" s="46" t="s">
        <v>156</v>
      </c>
      <c r="X123" s="47"/>
      <c r="Y123" s="48"/>
      <c r="Z123" s="46" t="s">
        <v>156</v>
      </c>
      <c r="AA123" s="47"/>
      <c r="AB123" s="48"/>
      <c r="AC123" s="46" t="s">
        <v>156</v>
      </c>
      <c r="AD123" s="47"/>
      <c r="AE123" s="48"/>
    </row>
    <row r="124" spans="1:31" s="82" customFormat="1" ht="15">
      <c r="A124" s="81" t="s">
        <v>151</v>
      </c>
      <c r="B124" s="11" t="s">
        <v>82</v>
      </c>
      <c r="C124" s="44">
        <v>35</v>
      </c>
      <c r="D124" s="14"/>
      <c r="E124" s="11" t="s">
        <v>87</v>
      </c>
      <c r="F124" s="44">
        <v>105</v>
      </c>
      <c r="G124" s="14"/>
      <c r="H124" s="11" t="s">
        <v>156</v>
      </c>
      <c r="I124" s="44"/>
      <c r="J124" s="14"/>
      <c r="K124" s="11" t="s">
        <v>156</v>
      </c>
      <c r="L124" s="44"/>
      <c r="M124" s="14"/>
      <c r="N124" s="11" t="s">
        <v>156</v>
      </c>
      <c r="O124" s="44"/>
      <c r="P124" s="14"/>
      <c r="Q124" s="11" t="s">
        <v>156</v>
      </c>
      <c r="R124" s="44"/>
      <c r="S124" s="14"/>
      <c r="T124" s="11" t="s">
        <v>156</v>
      </c>
      <c r="U124" s="44"/>
      <c r="V124" s="14"/>
      <c r="W124" s="11" t="s">
        <v>156</v>
      </c>
      <c r="X124" s="44"/>
      <c r="Y124" s="14"/>
      <c r="Z124" s="11" t="s">
        <v>156</v>
      </c>
      <c r="AA124" s="44"/>
      <c r="AB124" s="14"/>
      <c r="AC124" s="11" t="s">
        <v>156</v>
      </c>
      <c r="AD124" s="44"/>
      <c r="AE124" s="14"/>
    </row>
    <row r="125" spans="1:31" s="49" customFormat="1" ht="15">
      <c r="A125" s="80" t="s">
        <v>152</v>
      </c>
      <c r="B125" s="74" t="s">
        <v>65</v>
      </c>
      <c r="C125" s="75">
        <v>45</v>
      </c>
      <c r="D125" s="76">
        <v>75</v>
      </c>
      <c r="E125" s="74" t="s">
        <v>99</v>
      </c>
      <c r="F125" s="75">
        <v>27</v>
      </c>
      <c r="G125" s="76"/>
      <c r="H125" s="74" t="s">
        <v>165</v>
      </c>
      <c r="I125" s="75"/>
      <c r="J125" s="76"/>
      <c r="K125" s="74" t="s">
        <v>156</v>
      </c>
      <c r="L125" s="75"/>
      <c r="M125" s="76"/>
      <c r="N125" s="74" t="s">
        <v>156</v>
      </c>
      <c r="O125" s="75"/>
      <c r="P125" s="76"/>
      <c r="Q125" s="74" t="s">
        <v>156</v>
      </c>
      <c r="R125" s="75"/>
      <c r="S125" s="76"/>
      <c r="T125" s="74" t="s">
        <v>156</v>
      </c>
      <c r="U125" s="75"/>
      <c r="V125" s="76"/>
      <c r="W125" s="74" t="s">
        <v>156</v>
      </c>
      <c r="X125" s="75"/>
      <c r="Y125" s="76"/>
      <c r="Z125" s="74" t="s">
        <v>156</v>
      </c>
      <c r="AA125" s="75"/>
      <c r="AB125" s="76"/>
      <c r="AC125" s="74" t="s">
        <v>156</v>
      </c>
      <c r="AD125" s="75"/>
      <c r="AE125" s="76"/>
    </row>
    <row r="128" spans="1:32" s="52" customFormat="1" ht="15">
      <c r="A128" s="52" t="s">
        <v>174</v>
      </c>
      <c r="B128" s="77" t="s">
        <v>175</v>
      </c>
      <c r="C128" s="51" t="s">
        <v>159</v>
      </c>
      <c r="D128" s="52" t="s">
        <v>158</v>
      </c>
      <c r="E128" s="52" t="s">
        <v>20</v>
      </c>
      <c r="F128" s="51" t="s">
        <v>159</v>
      </c>
      <c r="G128" s="52" t="s">
        <v>158</v>
      </c>
      <c r="H128" s="52" t="s">
        <v>20</v>
      </c>
      <c r="I128" s="51" t="s">
        <v>159</v>
      </c>
      <c r="J128" s="52" t="s">
        <v>158</v>
      </c>
      <c r="K128" s="52" t="s">
        <v>20</v>
      </c>
      <c r="L128" s="51" t="s">
        <v>159</v>
      </c>
      <c r="M128" s="52" t="s">
        <v>158</v>
      </c>
      <c r="N128" s="52" t="s">
        <v>20</v>
      </c>
      <c r="O128" s="51" t="s">
        <v>159</v>
      </c>
      <c r="P128" s="52" t="s">
        <v>158</v>
      </c>
      <c r="Q128" s="52" t="s">
        <v>20</v>
      </c>
      <c r="R128" s="51" t="s">
        <v>159</v>
      </c>
      <c r="S128" s="52" t="s">
        <v>158</v>
      </c>
      <c r="T128" s="52" t="s">
        <v>20</v>
      </c>
      <c r="U128" s="51" t="s">
        <v>159</v>
      </c>
      <c r="V128" s="52" t="s">
        <v>158</v>
      </c>
      <c r="W128" s="52" t="s">
        <v>20</v>
      </c>
      <c r="X128" s="51" t="s">
        <v>159</v>
      </c>
      <c r="Y128" s="52" t="s">
        <v>158</v>
      </c>
      <c r="Z128" s="52" t="s">
        <v>20</v>
      </c>
      <c r="AA128" s="51" t="s">
        <v>159</v>
      </c>
      <c r="AB128" s="52" t="s">
        <v>158</v>
      </c>
      <c r="AC128" s="52" t="s">
        <v>20</v>
      </c>
      <c r="AD128" s="51" t="s">
        <v>159</v>
      </c>
      <c r="AE128" s="52" t="s">
        <v>158</v>
      </c>
      <c r="AF128" s="52" t="s">
        <v>20</v>
      </c>
    </row>
    <row r="129" spans="1:32" ht="15">
      <c r="A129" s="41" t="s">
        <v>125</v>
      </c>
      <c r="B129" s="78"/>
      <c r="C129" s="42" t="s">
        <v>176</v>
      </c>
      <c r="D129" s="3"/>
      <c r="E129" s="12"/>
      <c r="F129" s="42" t="s">
        <v>177</v>
      </c>
      <c r="G129" s="3"/>
      <c r="H129" s="12"/>
      <c r="I129" s="42" t="s">
        <v>156</v>
      </c>
      <c r="J129" s="3"/>
      <c r="K129" s="12"/>
      <c r="L129" s="42" t="s">
        <v>156</v>
      </c>
      <c r="M129" s="3"/>
      <c r="N129" s="12"/>
      <c r="O129" s="42" t="s">
        <v>156</v>
      </c>
      <c r="P129" s="3"/>
      <c r="Q129" s="12"/>
      <c r="R129" s="42" t="s">
        <v>156</v>
      </c>
      <c r="S129" s="3"/>
      <c r="T129" s="12"/>
      <c r="U129" s="42" t="s">
        <v>156</v>
      </c>
      <c r="V129" s="3"/>
      <c r="W129" s="12"/>
      <c r="X129" s="42" t="s">
        <v>156</v>
      </c>
      <c r="Y129" s="3"/>
      <c r="Z129" s="12"/>
      <c r="AA129" s="42" t="s">
        <v>156</v>
      </c>
      <c r="AB129" s="3"/>
      <c r="AC129" s="12"/>
      <c r="AD129" s="42" t="s">
        <v>156</v>
      </c>
      <c r="AE129" s="3"/>
      <c r="AF129" s="12"/>
    </row>
    <row r="130" spans="1:32" s="49" customFormat="1" ht="15">
      <c r="A130" s="45" t="s">
        <v>126</v>
      </c>
      <c r="B130" s="79">
        <v>20</v>
      </c>
      <c r="C130" s="46" t="s">
        <v>63</v>
      </c>
      <c r="D130" s="47">
        <v>5</v>
      </c>
      <c r="E130" s="48"/>
      <c r="F130" s="46" t="s">
        <v>88</v>
      </c>
      <c r="G130" s="47">
        <v>10</v>
      </c>
      <c r="H130" s="48"/>
      <c r="I130" s="46" t="s">
        <v>1</v>
      </c>
      <c r="J130" s="47">
        <v>15</v>
      </c>
      <c r="K130" s="48"/>
      <c r="L130" s="46" t="s">
        <v>156</v>
      </c>
      <c r="M130" s="47"/>
      <c r="N130" s="48"/>
      <c r="O130" s="46" t="s">
        <v>156</v>
      </c>
      <c r="P130" s="47"/>
      <c r="Q130" s="48"/>
      <c r="R130" s="46" t="s">
        <v>156</v>
      </c>
      <c r="S130" s="47"/>
      <c r="T130" s="48"/>
      <c r="U130" s="46" t="s">
        <v>156</v>
      </c>
      <c r="V130" s="47"/>
      <c r="W130" s="48"/>
      <c r="X130" s="46" t="s">
        <v>156</v>
      </c>
      <c r="Y130" s="47"/>
      <c r="Z130" s="48"/>
      <c r="AA130" s="46" t="s">
        <v>156</v>
      </c>
      <c r="AB130" s="47"/>
      <c r="AC130" s="48"/>
      <c r="AD130" s="46" t="s">
        <v>156</v>
      </c>
      <c r="AE130" s="47"/>
      <c r="AF130" s="48"/>
    </row>
    <row r="131" spans="1:32" s="82" customFormat="1" ht="15">
      <c r="A131" s="81" t="s">
        <v>139</v>
      </c>
      <c r="B131" s="83">
        <v>20</v>
      </c>
      <c r="C131" s="11" t="s">
        <v>95</v>
      </c>
      <c r="D131" s="44">
        <v>5</v>
      </c>
      <c r="E131" s="14"/>
      <c r="F131" s="11" t="s">
        <v>102</v>
      </c>
      <c r="G131" s="44">
        <v>10</v>
      </c>
      <c r="H131" s="14"/>
      <c r="I131" s="11" t="s">
        <v>63</v>
      </c>
      <c r="J131" s="44">
        <v>15</v>
      </c>
      <c r="K131" s="14"/>
      <c r="L131" s="11" t="s">
        <v>156</v>
      </c>
      <c r="M131" s="44"/>
      <c r="N131" s="14"/>
      <c r="O131" s="11" t="s">
        <v>156</v>
      </c>
      <c r="P131" s="44"/>
      <c r="Q131" s="14"/>
      <c r="R131" s="11" t="s">
        <v>156</v>
      </c>
      <c r="S131" s="44"/>
      <c r="T131" s="14"/>
      <c r="U131" s="11" t="s">
        <v>156</v>
      </c>
      <c r="V131" s="44"/>
      <c r="W131" s="14"/>
      <c r="X131" s="11" t="s">
        <v>156</v>
      </c>
      <c r="Y131" s="44"/>
      <c r="Z131" s="14"/>
      <c r="AA131" s="11" t="s">
        <v>156</v>
      </c>
      <c r="AB131" s="44"/>
      <c r="AC131" s="14"/>
      <c r="AD131" s="11" t="s">
        <v>156</v>
      </c>
      <c r="AE131" s="44"/>
      <c r="AF131" s="14"/>
    </row>
    <row r="132" spans="1:32" s="49" customFormat="1" ht="15">
      <c r="A132" s="45" t="s">
        <v>149</v>
      </c>
      <c r="B132" s="79">
        <v>20</v>
      </c>
      <c r="C132" s="46" t="s">
        <v>82</v>
      </c>
      <c r="D132" s="47">
        <v>2</v>
      </c>
      <c r="E132" s="48"/>
      <c r="F132" s="46" t="s">
        <v>95</v>
      </c>
      <c r="G132" s="47">
        <v>4</v>
      </c>
      <c r="H132" s="48"/>
      <c r="I132" s="46" t="s">
        <v>107</v>
      </c>
      <c r="J132" s="47">
        <v>8</v>
      </c>
      <c r="K132" s="48">
        <v>52.9109</v>
      </c>
      <c r="L132" s="46" t="s">
        <v>156</v>
      </c>
      <c r="M132" s="47"/>
      <c r="N132" s="48"/>
      <c r="O132" s="46" t="s">
        <v>156</v>
      </c>
      <c r="P132" s="47"/>
      <c r="Q132" s="48"/>
      <c r="R132" s="46" t="s">
        <v>156</v>
      </c>
      <c r="S132" s="47"/>
      <c r="T132" s="48"/>
      <c r="U132" s="46" t="s">
        <v>156</v>
      </c>
      <c r="V132" s="47"/>
      <c r="W132" s="48"/>
      <c r="X132" s="46" t="s">
        <v>156</v>
      </c>
      <c r="Y132" s="47"/>
      <c r="Z132" s="48"/>
      <c r="AA132" s="46" t="s">
        <v>156</v>
      </c>
      <c r="AB132" s="47"/>
      <c r="AC132" s="48"/>
      <c r="AD132" s="46" t="s">
        <v>156</v>
      </c>
      <c r="AE132" s="47"/>
      <c r="AF132" s="48"/>
    </row>
    <row r="133" spans="1:32" s="86" customFormat="1" ht="15">
      <c r="A133" s="84" t="s">
        <v>141</v>
      </c>
      <c r="B133" s="85"/>
      <c r="C133" s="8" t="s">
        <v>176</v>
      </c>
      <c r="E133" s="87"/>
      <c r="F133" s="8" t="s">
        <v>177</v>
      </c>
      <c r="H133" s="87"/>
      <c r="I133" s="8" t="s">
        <v>156</v>
      </c>
      <c r="K133" s="87"/>
      <c r="L133" s="8" t="s">
        <v>156</v>
      </c>
      <c r="N133" s="87"/>
      <c r="O133" s="8" t="s">
        <v>156</v>
      </c>
      <c r="Q133" s="87"/>
      <c r="R133" s="8" t="s">
        <v>156</v>
      </c>
      <c r="T133" s="87"/>
      <c r="U133" s="8" t="s">
        <v>156</v>
      </c>
      <c r="W133" s="87"/>
      <c r="X133" s="8" t="s">
        <v>156</v>
      </c>
      <c r="Z133" s="87"/>
      <c r="AA133" s="8" t="s">
        <v>156</v>
      </c>
      <c r="AC133" s="87"/>
      <c r="AD133" s="8" t="s">
        <v>156</v>
      </c>
      <c r="AF133" s="87"/>
    </row>
  </sheetData>
  <sheetProtection sheet="1"/>
  <dataValidations count="1">
    <dataValidation type="list" allowBlank="1" showInputMessage="1" showErrorMessage="1" sqref="AA129:AA133 Z96:Z125 E96:E117 B96:B117 F130:F132 AF97 H96:H102 H114:H124 AC96:AC125 B119:B125 E119:E125 W96:W125 Q96:Q125 K96:K125 N96:N125 T96:T125 I129:I133 U129:U133 O129:O133 L129:L133 R129:R133 X129:X133 C130:C132 H104:H112 AD129:AD133">
      <formula1>MovementList</formula1>
    </dataValidation>
  </dataValidations>
  <printOptions/>
  <pageMargins left="0.7" right="0.7" top="0.75" bottom="0.75" header="0.3" footer="0.3"/>
  <pageSetup horizontalDpi="600" verticalDpi="600" orientation="portrait" r:id="rId3"/>
  <ignoredErrors>
    <ignoredError sqref="C44:C46 C43:D43 C41:D41 D42 C7:D7 D17 F16:F17 C6:D6 D32 D45:D46 G37" formula="1"/>
  </ignoredErrors>
  <legacyDrawing r:id="rId2"/>
</worksheet>
</file>

<file path=xl/worksheets/sheet4.xml><?xml version="1.0" encoding="utf-8"?>
<worksheet xmlns="http://schemas.openxmlformats.org/spreadsheetml/2006/main" xmlns:r="http://schemas.openxmlformats.org/officeDocument/2006/relationships">
  <dimension ref="A1:J43"/>
  <sheetViews>
    <sheetView zoomScalePageLayoutView="0" workbookViewId="0" topLeftCell="A1">
      <selection activeCell="G40" sqref="G40"/>
    </sheetView>
  </sheetViews>
  <sheetFormatPr defaultColWidth="9.140625" defaultRowHeight="15"/>
  <cols>
    <col min="1" max="1" width="14.140625" style="0" customWidth="1"/>
  </cols>
  <sheetData>
    <row r="1" spans="2:9" ht="15">
      <c r="B1">
        <v>1</v>
      </c>
      <c r="C1">
        <v>2</v>
      </c>
      <c r="D1">
        <v>3</v>
      </c>
      <c r="E1">
        <v>4</v>
      </c>
      <c r="F1">
        <v>5</v>
      </c>
      <c r="G1">
        <v>6</v>
      </c>
      <c r="H1" t="s">
        <v>33</v>
      </c>
      <c r="I1" t="s">
        <v>35</v>
      </c>
    </row>
    <row r="2" spans="1:8" ht="15">
      <c r="A2" t="s">
        <v>31</v>
      </c>
      <c r="B2">
        <v>65</v>
      </c>
      <c r="C2">
        <v>45</v>
      </c>
      <c r="D2">
        <v>47</v>
      </c>
      <c r="E2">
        <v>58</v>
      </c>
      <c r="F2">
        <v>61</v>
      </c>
      <c r="G2">
        <v>50</v>
      </c>
      <c r="H2">
        <f>AVERAGE(B2:G2)</f>
        <v>54.333333333333336</v>
      </c>
    </row>
    <row r="3" spans="1:10" ht="15">
      <c r="A3" t="s">
        <v>30</v>
      </c>
      <c r="B3">
        <v>58.7</v>
      </c>
      <c r="C3">
        <v>76.15</v>
      </c>
      <c r="D3">
        <v>89.15</v>
      </c>
      <c r="E3">
        <v>50.62</v>
      </c>
      <c r="F3">
        <v>58.08</v>
      </c>
      <c r="G3">
        <v>58.34</v>
      </c>
      <c r="H3">
        <f>AVERAGE(B3:G3)</f>
        <v>65.17333333333333</v>
      </c>
      <c r="I3">
        <f>H3*2.20462262</f>
        <v>143.68260488746665</v>
      </c>
      <c r="J3" t="s">
        <v>36</v>
      </c>
    </row>
    <row r="4" spans="1:10" ht="15">
      <c r="A4" t="s">
        <v>32</v>
      </c>
      <c r="B4">
        <v>167.8</v>
      </c>
      <c r="C4">
        <v>181.7</v>
      </c>
      <c r="D4">
        <v>174.2</v>
      </c>
      <c r="E4">
        <v>175.9</v>
      </c>
      <c r="F4">
        <v>168.8</v>
      </c>
      <c r="G4">
        <v>164.5</v>
      </c>
      <c r="H4">
        <f>AVERAGE(B4:G4)</f>
        <v>172.15</v>
      </c>
      <c r="I4">
        <f>H4*0.393700787</f>
        <v>67.77559048205</v>
      </c>
      <c r="J4" t="s">
        <v>37</v>
      </c>
    </row>
    <row r="5" spans="9:10" ht="15">
      <c r="I5">
        <f>I3/I4</f>
        <v>2.1199757001825046</v>
      </c>
      <c r="J5" t="s">
        <v>36</v>
      </c>
    </row>
    <row r="7" ht="15">
      <c r="A7" t="s">
        <v>12</v>
      </c>
    </row>
    <row r="8" spans="1:10" ht="15">
      <c r="A8" t="s">
        <v>30</v>
      </c>
      <c r="B8">
        <v>4.025</v>
      </c>
      <c r="C8">
        <v>4.152</v>
      </c>
      <c r="D8">
        <v>4.821</v>
      </c>
      <c r="E8">
        <v>3.358</v>
      </c>
      <c r="F8">
        <v>4.105</v>
      </c>
      <c r="G8">
        <v>3.471</v>
      </c>
      <c r="H8">
        <f>AVERAGE(B8:G8)</f>
        <v>3.9886666666666666</v>
      </c>
      <c r="I8">
        <f>H8*2.20462262</f>
        <v>8.793504756973332</v>
      </c>
      <c r="J8" t="s">
        <v>36</v>
      </c>
    </row>
    <row r="9" spans="1:10" ht="15">
      <c r="A9" t="s">
        <v>34</v>
      </c>
      <c r="B9">
        <v>23.1</v>
      </c>
      <c r="C9">
        <v>24.2</v>
      </c>
      <c r="D9">
        <v>22.4</v>
      </c>
      <c r="E9">
        <v>22.3</v>
      </c>
      <c r="F9">
        <v>25</v>
      </c>
      <c r="G9">
        <v>21.8</v>
      </c>
      <c r="H9">
        <f>AVERAGE(B9:G9)</f>
        <v>23.13333333333333</v>
      </c>
      <c r="I9">
        <f>H9*0.393700787</f>
        <v>9.107611539266665</v>
      </c>
      <c r="J9" t="s">
        <v>37</v>
      </c>
    </row>
    <row r="10" spans="9:10" ht="15">
      <c r="I10">
        <f>I8/I9</f>
        <v>0.9655116183931332</v>
      </c>
      <c r="J10" t="s">
        <v>36</v>
      </c>
    </row>
    <row r="16" spans="1:6" ht="15">
      <c r="A16" t="s">
        <v>19</v>
      </c>
      <c r="B16" t="s">
        <v>44</v>
      </c>
      <c r="C16" t="s">
        <v>45</v>
      </c>
      <c r="D16" t="s">
        <v>47</v>
      </c>
      <c r="E16" t="s">
        <v>46</v>
      </c>
      <c r="F16" t="s">
        <v>57</v>
      </c>
    </row>
    <row r="17" spans="1:6" ht="15">
      <c r="A17" t="s">
        <v>12</v>
      </c>
      <c r="B17">
        <v>4.4</v>
      </c>
      <c r="C17">
        <v>1</v>
      </c>
      <c r="D17">
        <f aca="true" t="shared" si="0" ref="D17:D26">B17*C17</f>
        <v>4.4</v>
      </c>
      <c r="E17">
        <f aca="true" t="shared" si="1" ref="E17:E26">D17*2.20462262</f>
        <v>9.700339528</v>
      </c>
      <c r="F17">
        <f>E17/E27</f>
        <v>0.0510737086477075</v>
      </c>
    </row>
    <row r="18" spans="1:6" ht="15">
      <c r="A18" t="s">
        <v>39</v>
      </c>
      <c r="B18">
        <v>1.1</v>
      </c>
      <c r="C18">
        <v>1</v>
      </c>
      <c r="D18">
        <f t="shared" si="0"/>
        <v>1.1</v>
      </c>
      <c r="E18">
        <f t="shared" si="1"/>
        <v>2.425084882</v>
      </c>
      <c r="F18">
        <f>E18/E27</f>
        <v>0.012768427161926875</v>
      </c>
    </row>
    <row r="19" spans="1:5" ht="15">
      <c r="A19" t="s">
        <v>40</v>
      </c>
      <c r="B19">
        <v>28.61</v>
      </c>
      <c r="C19">
        <v>1</v>
      </c>
      <c r="D19">
        <f t="shared" si="0"/>
        <v>28.61</v>
      </c>
      <c r="E19">
        <f t="shared" si="1"/>
        <v>63.074253158199994</v>
      </c>
    </row>
    <row r="20" spans="1:5" ht="15">
      <c r="A20" t="s">
        <v>10</v>
      </c>
      <c r="B20">
        <v>12.3</v>
      </c>
      <c r="C20">
        <v>1</v>
      </c>
      <c r="D20">
        <f t="shared" si="0"/>
        <v>12.3</v>
      </c>
      <c r="E20">
        <f t="shared" si="1"/>
        <v>27.116858226</v>
      </c>
    </row>
    <row r="21" spans="1:5" ht="15">
      <c r="A21" t="s">
        <v>41</v>
      </c>
      <c r="B21">
        <v>2.5</v>
      </c>
      <c r="C21">
        <v>2</v>
      </c>
      <c r="D21">
        <f t="shared" si="0"/>
        <v>5</v>
      </c>
      <c r="E21">
        <f t="shared" si="1"/>
        <v>11.0231131</v>
      </c>
    </row>
    <row r="22" spans="1:5" ht="15">
      <c r="A22" t="s">
        <v>14</v>
      </c>
      <c r="B22">
        <v>1.45</v>
      </c>
      <c r="C22">
        <v>2</v>
      </c>
      <c r="D22">
        <f t="shared" si="0"/>
        <v>2.9</v>
      </c>
      <c r="E22">
        <f t="shared" si="1"/>
        <v>6.393405597999999</v>
      </c>
    </row>
    <row r="23" spans="1:5" ht="15">
      <c r="A23" t="s">
        <v>15</v>
      </c>
      <c r="B23">
        <v>0.53</v>
      </c>
      <c r="C23">
        <v>2</v>
      </c>
      <c r="D23">
        <f t="shared" si="0"/>
        <v>1.06</v>
      </c>
      <c r="E23">
        <f t="shared" si="1"/>
        <v>2.3368999772</v>
      </c>
    </row>
    <row r="24" spans="1:5" ht="15">
      <c r="A24" t="s">
        <v>42</v>
      </c>
      <c r="B24">
        <v>10.34</v>
      </c>
      <c r="C24">
        <v>2</v>
      </c>
      <c r="D24">
        <f t="shared" si="0"/>
        <v>20.68</v>
      </c>
      <c r="E24">
        <f t="shared" si="1"/>
        <v>45.5915957816</v>
      </c>
    </row>
    <row r="25" spans="1:5" ht="15">
      <c r="A25" t="s">
        <v>43</v>
      </c>
      <c r="B25">
        <v>4.04</v>
      </c>
      <c r="C25">
        <v>2</v>
      </c>
      <c r="D25">
        <f t="shared" si="0"/>
        <v>8.08</v>
      </c>
      <c r="E25">
        <f t="shared" si="1"/>
        <v>17.8133507696</v>
      </c>
    </row>
    <row r="26" spans="1:5" ht="15">
      <c r="A26" t="s">
        <v>16</v>
      </c>
      <c r="B26">
        <v>1.01</v>
      </c>
      <c r="C26">
        <v>2</v>
      </c>
      <c r="D26">
        <f t="shared" si="0"/>
        <v>2.02</v>
      </c>
      <c r="E26">
        <f t="shared" si="1"/>
        <v>4.4533376924</v>
      </c>
    </row>
    <row r="27" spans="4:5" ht="15">
      <c r="D27">
        <f>SUM(D17:D26)</f>
        <v>86.14999999999999</v>
      </c>
      <c r="E27">
        <f>D27*2.20462262</f>
        <v>189.92823871299996</v>
      </c>
    </row>
    <row r="28" spans="2:5" ht="15">
      <c r="B28" t="s">
        <v>60</v>
      </c>
      <c r="D28">
        <f>SUM(D19:D26)</f>
        <v>80.64999999999999</v>
      </c>
      <c r="E28">
        <f>D28*2.20462262</f>
        <v>177.80281430299996</v>
      </c>
    </row>
    <row r="29" spans="7:8" ht="15">
      <c r="G29" t="s">
        <v>58</v>
      </c>
      <c r="H29" t="s">
        <v>59</v>
      </c>
    </row>
    <row r="30" spans="1:8" ht="15">
      <c r="A30" t="s">
        <v>19</v>
      </c>
      <c r="B30" t="s">
        <v>50</v>
      </c>
      <c r="C30" t="s">
        <v>54</v>
      </c>
      <c r="D30" t="s">
        <v>55</v>
      </c>
      <c r="G30">
        <v>88</v>
      </c>
      <c r="H30">
        <v>184</v>
      </c>
    </row>
    <row r="31" spans="1:4" ht="15">
      <c r="A31" t="s">
        <v>38</v>
      </c>
      <c r="B31">
        <v>179.9</v>
      </c>
      <c r="C31">
        <f aca="true" t="shared" si="2" ref="C31:C43">B31*0.393700787</f>
        <v>70.82677158130001</v>
      </c>
      <c r="D31">
        <f>E27/C31</f>
        <v>2.6815882536024787</v>
      </c>
    </row>
    <row r="32" spans="1:3" ht="15">
      <c r="A32" t="s">
        <v>48</v>
      </c>
      <c r="B32">
        <v>8.5</v>
      </c>
      <c r="C32">
        <f t="shared" si="2"/>
        <v>3.3464566895</v>
      </c>
    </row>
    <row r="33" spans="1:8" ht="15">
      <c r="A33" t="s">
        <v>11</v>
      </c>
      <c r="B33">
        <v>47.6</v>
      </c>
      <c r="C33">
        <f t="shared" si="2"/>
        <v>18.7401574612</v>
      </c>
      <c r="D33">
        <f>E19/C33</f>
        <v>3.3657269576731252</v>
      </c>
      <c r="G33">
        <f>((G30-E28)/E28)+D33</f>
        <v>2.8606572564142696</v>
      </c>
      <c r="H33">
        <f>((H30-E28)/E28)+D33</f>
        <v>3.4005812186773365</v>
      </c>
    </row>
    <row r="34" spans="1:4" ht="15">
      <c r="A34" t="s">
        <v>49</v>
      </c>
      <c r="B34">
        <v>32.3</v>
      </c>
      <c r="C34">
        <f t="shared" si="2"/>
        <v>12.7165354201</v>
      </c>
      <c r="D34">
        <f>SUM(E17:E18)/C34</f>
        <v>0.9535163477651565</v>
      </c>
    </row>
    <row r="35" spans="1:4" ht="15">
      <c r="A35" t="s">
        <v>10</v>
      </c>
      <c r="B35">
        <v>21.9</v>
      </c>
      <c r="C35">
        <f t="shared" si="2"/>
        <v>8.6220472353</v>
      </c>
      <c r="D35">
        <f>E20/C35</f>
        <v>3.1450602723422083</v>
      </c>
    </row>
    <row r="36" spans="1:4" ht="15">
      <c r="A36" t="s">
        <v>9</v>
      </c>
      <c r="B36">
        <v>35.85</v>
      </c>
      <c r="C36">
        <f t="shared" si="2"/>
        <v>14.11417321395</v>
      </c>
      <c r="D36">
        <f>E24/C36</f>
        <v>3.230199537053911</v>
      </c>
    </row>
    <row r="37" spans="1:4" ht="15">
      <c r="A37" t="s">
        <v>8</v>
      </c>
      <c r="B37">
        <v>36.65</v>
      </c>
      <c r="C37">
        <f t="shared" si="2"/>
        <v>14.42913384355</v>
      </c>
      <c r="D37">
        <f>E25/C37</f>
        <v>1.234540545728099</v>
      </c>
    </row>
    <row r="38" spans="1:4" ht="15">
      <c r="A38" t="s">
        <v>13</v>
      </c>
      <c r="B38">
        <v>32.89</v>
      </c>
      <c r="C38">
        <f t="shared" si="2"/>
        <v>12.94881888443</v>
      </c>
      <c r="D38">
        <f>E21/C38</f>
        <v>0.8512832867910818</v>
      </c>
    </row>
    <row r="39" spans="1:4" ht="15">
      <c r="A39" t="s">
        <v>14</v>
      </c>
      <c r="B39">
        <v>24.98</v>
      </c>
      <c r="C39">
        <f t="shared" si="2"/>
        <v>9.83464565926</v>
      </c>
      <c r="D39">
        <f>E22/C39</f>
        <v>0.650090081484549</v>
      </c>
    </row>
    <row r="40" spans="1:4" ht="15">
      <c r="A40" t="s">
        <v>52</v>
      </c>
      <c r="B40">
        <v>19.3</v>
      </c>
      <c r="C40">
        <f t="shared" si="2"/>
        <v>7.5984251891</v>
      </c>
      <c r="D40">
        <f>E23/C40</f>
        <v>0.30755056726126634</v>
      </c>
    </row>
    <row r="41" spans="1:4" ht="15">
      <c r="A41" s="3" t="s">
        <v>51</v>
      </c>
      <c r="B41" s="3">
        <v>27.3</v>
      </c>
      <c r="C41" s="3">
        <f t="shared" si="2"/>
        <v>10.7480314851</v>
      </c>
      <c r="D41" s="3"/>
    </row>
    <row r="42" spans="1:4" ht="15">
      <c r="A42" s="9" t="s">
        <v>56</v>
      </c>
      <c r="B42" s="9">
        <f>B32+B41</f>
        <v>35.8</v>
      </c>
      <c r="C42" s="9">
        <f t="shared" si="2"/>
        <v>14.094488174599999</v>
      </c>
      <c r="D42" s="9">
        <f>E26/C42</f>
        <v>0.31596306564898624</v>
      </c>
    </row>
    <row r="43" spans="1:3" ht="15">
      <c r="A43" t="s">
        <v>53</v>
      </c>
      <c r="B43">
        <f>SUM(B32:B37)</f>
        <v>182.8</v>
      </c>
      <c r="C43">
        <f t="shared" si="2"/>
        <v>71.9685038636</v>
      </c>
    </row>
  </sheetData>
  <sheetProtection/>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Army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Matt.Deminico</dc:creator>
  <cp:keywords/>
  <dc:description/>
  <cp:lastModifiedBy>Matt.Deminico</cp:lastModifiedBy>
  <dcterms:created xsi:type="dcterms:W3CDTF">2009-02-11T16:53:14Z</dcterms:created>
  <dcterms:modified xsi:type="dcterms:W3CDTF">2009-03-18T17:42:54Z</dcterms:modified>
  <cp:category/>
  <cp:version/>
  <cp:contentType/>
  <cp:contentStatus/>
</cp:coreProperties>
</file>